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513\Desktop\Field Engineering\"/>
    </mc:Choice>
  </mc:AlternateContent>
  <xr:revisionPtr revIDLastSave="0" documentId="8_{4EA954DD-A3D7-408C-ACB9-A3DDE169D75F}" xr6:coauthVersionLast="31" xr6:coauthVersionMax="31" xr10:uidLastSave="{00000000-0000-0000-0000-000000000000}"/>
  <bookViews>
    <workbookView xWindow="1200" yWindow="-120" windowWidth="9135" windowHeight="4755" tabRatio="860" activeTab="3"/>
  </bookViews>
  <sheets>
    <sheet name="UL58 Single Wall &amp; Type II" sheetId="1" r:id="rId1"/>
    <sheet name="UL 58 Metric SW &amp; Type II" sheetId="2" r:id="rId2"/>
    <sheet name="UL 58 Double Wall &amp; Type I" sheetId="3" r:id="rId3"/>
    <sheet name="UL 58 Metric DW &amp; Type I" sheetId="4" r:id="rId4"/>
    <sheet name="UL58 Formulas" sheetId="5" state="hidden" r:id="rId5"/>
  </sheets>
  <definedNames>
    <definedName name="_xlnm.Print_Area" localSheetId="2">'UL 58 Double Wall &amp; Type I'!$A$1:$K$28</definedName>
    <definedName name="_xlnm.Print_Area" localSheetId="3">'UL 58 Metric DW &amp; Type I'!$A$1:$K$28</definedName>
    <definedName name="_xlnm.Print_Area" localSheetId="1">'UL 58 Metric SW &amp; Type II'!$A$1:$J$25</definedName>
    <definedName name="_xlnm.Print_Area" localSheetId="0">'UL58 Single Wall &amp; Type II'!$A$1:$J$19</definedName>
  </definedNames>
  <calcPr calcId="179017"/>
</workbook>
</file>

<file path=xl/calcChain.xml><?xml version="1.0" encoding="utf-8"?>
<calcChain xmlns="http://schemas.openxmlformats.org/spreadsheetml/2006/main">
  <c r="K14" i="4" l="1"/>
  <c r="H14" i="4"/>
  <c r="B84" i="5"/>
  <c r="C76" i="5"/>
  <c r="K14" i="3"/>
  <c r="H14" i="3"/>
  <c r="C73" i="5"/>
  <c r="B75" i="5"/>
  <c r="B79" i="5"/>
  <c r="B80" i="5"/>
  <c r="B68" i="5"/>
  <c r="B81" i="5"/>
  <c r="A69" i="5"/>
  <c r="B83" i="5"/>
  <c r="A49" i="5"/>
  <c r="E49" i="5"/>
  <c r="B49" i="5"/>
  <c r="A50" i="5"/>
  <c r="C50" i="5"/>
  <c r="B50" i="5"/>
  <c r="A51" i="5"/>
  <c r="C51" i="5"/>
  <c r="B51" i="5"/>
  <c r="C54" i="5"/>
  <c r="B56" i="5"/>
  <c r="C36" i="5"/>
  <c r="C37" i="5"/>
  <c r="B27" i="5"/>
  <c r="C38" i="5"/>
  <c r="A27" i="5"/>
  <c r="B11" i="5"/>
  <c r="A11" i="5"/>
  <c r="C11" i="5"/>
  <c r="B10" i="5"/>
  <c r="A10" i="5"/>
  <c r="C10" i="5"/>
  <c r="B9" i="5"/>
  <c r="A9" i="5"/>
  <c r="E9" i="5"/>
  <c r="F6" i="1"/>
  <c r="H6" i="1"/>
  <c r="F7" i="1"/>
  <c r="H7" i="1"/>
  <c r="F6" i="2"/>
  <c r="H6" i="2"/>
  <c r="F7" i="2"/>
  <c r="H7" i="2"/>
  <c r="G7" i="3"/>
  <c r="J7" i="3"/>
  <c r="G8" i="3"/>
  <c r="J8" i="3"/>
  <c r="G13" i="3"/>
  <c r="J13" i="3"/>
  <c r="G7" i="4"/>
  <c r="J7" i="4"/>
  <c r="G8" i="4"/>
  <c r="J8" i="4"/>
  <c r="G13" i="4"/>
  <c r="J13" i="4"/>
  <c r="B46" i="5"/>
  <c r="D46" i="5"/>
  <c r="I46" i="5"/>
  <c r="B44" i="5"/>
  <c r="D44" i="5"/>
  <c r="I44" i="5"/>
  <c r="B5" i="5"/>
  <c r="D5" i="5"/>
  <c r="I5" i="5"/>
  <c r="B6" i="5"/>
  <c r="D6" i="5"/>
  <c r="M6" i="5"/>
  <c r="B4" i="5"/>
  <c r="D4" i="5"/>
  <c r="I4" i="5"/>
  <c r="D11" i="5"/>
  <c r="A6" i="5"/>
  <c r="D10" i="5"/>
  <c r="A5" i="5"/>
  <c r="G5" i="5"/>
  <c r="C9" i="5"/>
  <c r="D9" i="5"/>
  <c r="K6" i="5"/>
  <c r="G11" i="5"/>
  <c r="H9" i="1"/>
  <c r="L5" i="5"/>
  <c r="J6" i="5"/>
  <c r="L6" i="5"/>
  <c r="G6" i="5"/>
  <c r="H6" i="5"/>
  <c r="F9" i="5"/>
  <c r="A4" i="5"/>
  <c r="D8" i="1"/>
  <c r="H10" i="1"/>
  <c r="J5" i="5"/>
  <c r="K5" i="5"/>
  <c r="G10" i="5"/>
  <c r="F9" i="1"/>
  <c r="F10" i="1"/>
  <c r="K4" i="5"/>
  <c r="G9" i="5"/>
  <c r="M5" i="5"/>
  <c r="C49" i="5"/>
  <c r="D49" i="5"/>
  <c r="D9" i="3"/>
  <c r="B45" i="5"/>
  <c r="D45" i="5"/>
  <c r="I45" i="5"/>
  <c r="I6" i="5"/>
  <c r="D9" i="1"/>
  <c r="M4" i="5"/>
  <c r="H5" i="5"/>
  <c r="D11" i="1"/>
  <c r="H8" i="1"/>
  <c r="H11" i="1"/>
  <c r="F8" i="1"/>
  <c r="F11" i="1"/>
  <c r="J4" i="5"/>
  <c r="G4" i="5"/>
  <c r="H4" i="5"/>
  <c r="L4" i="5"/>
  <c r="D50" i="5"/>
  <c r="A45" i="5"/>
  <c r="D51" i="5"/>
  <c r="A46" i="5"/>
  <c r="B26" i="5"/>
  <c r="B28" i="5"/>
  <c r="B22" i="5"/>
  <c r="C27" i="5"/>
  <c r="D27" i="5"/>
  <c r="A22" i="5"/>
  <c r="A28" i="5"/>
  <c r="D22" i="5"/>
  <c r="A26" i="5"/>
  <c r="I22" i="5"/>
  <c r="B70" i="5"/>
  <c r="B69" i="5"/>
  <c r="B64" i="5"/>
  <c r="D64" i="5"/>
  <c r="I64" i="5"/>
  <c r="C69" i="5"/>
  <c r="A70" i="5"/>
  <c r="A68" i="5"/>
  <c r="F49" i="5"/>
  <c r="M45" i="5"/>
  <c r="G45" i="5"/>
  <c r="H45" i="5"/>
  <c r="L45" i="5"/>
  <c r="J45" i="5"/>
  <c r="D12" i="3"/>
  <c r="G9" i="3"/>
  <c r="G12" i="3"/>
  <c r="J9" i="3"/>
  <c r="J12" i="3"/>
  <c r="G46" i="5"/>
  <c r="H46" i="5"/>
  <c r="J46" i="5"/>
  <c r="K46" i="5"/>
  <c r="G51" i="5"/>
  <c r="J10" i="3"/>
  <c r="K13" i="3"/>
  <c r="L46" i="5"/>
  <c r="M46" i="5"/>
  <c r="A44" i="5"/>
  <c r="K45" i="5"/>
  <c r="G50" i="5"/>
  <c r="G10" i="3"/>
  <c r="L22" i="5"/>
  <c r="G22" i="5"/>
  <c r="M22" i="5"/>
  <c r="H22" i="5"/>
  <c r="J22" i="5"/>
  <c r="K22" i="5"/>
  <c r="G27" i="5"/>
  <c r="F9" i="2"/>
  <c r="C28" i="5"/>
  <c r="D28" i="5"/>
  <c r="A23" i="5"/>
  <c r="B23" i="5"/>
  <c r="D23" i="5"/>
  <c r="C26" i="5"/>
  <c r="D26" i="5"/>
  <c r="E26" i="5"/>
  <c r="B21" i="5"/>
  <c r="D21" i="5"/>
  <c r="I21" i="5"/>
  <c r="D69" i="5"/>
  <c r="A64" i="5"/>
  <c r="K64" i="5"/>
  <c r="G69" i="5"/>
  <c r="G10" i="4"/>
  <c r="G14" i="4"/>
  <c r="C70" i="5"/>
  <c r="D70" i="5"/>
  <c r="A65" i="5"/>
  <c r="B65" i="5"/>
  <c r="D65" i="5"/>
  <c r="M64" i="5"/>
  <c r="B63" i="5"/>
  <c r="D63" i="5"/>
  <c r="I63" i="5"/>
  <c r="C68" i="5"/>
  <c r="D68" i="5"/>
  <c r="E68" i="5"/>
  <c r="J14" i="3"/>
  <c r="K44" i="5"/>
  <c r="J11" i="3"/>
  <c r="L44" i="5"/>
  <c r="J44" i="5"/>
  <c r="G44" i="5"/>
  <c r="H44" i="5"/>
  <c r="M44" i="5"/>
  <c r="G11" i="3"/>
  <c r="G14" i="3"/>
  <c r="H13" i="3"/>
  <c r="K23" i="5"/>
  <c r="G28" i="5"/>
  <c r="H9" i="2"/>
  <c r="I23" i="5"/>
  <c r="G23" i="5"/>
  <c r="H23" i="5"/>
  <c r="L23" i="5"/>
  <c r="J23" i="5"/>
  <c r="D11" i="2"/>
  <c r="F11" i="2"/>
  <c r="F26" i="5"/>
  <c r="H11" i="2"/>
  <c r="A21" i="5"/>
  <c r="D8" i="2"/>
  <c r="M23" i="5"/>
  <c r="M21" i="5"/>
  <c r="K21" i="5"/>
  <c r="G26" i="5"/>
  <c r="D9" i="2"/>
  <c r="H10" i="2"/>
  <c r="L64" i="5"/>
  <c r="G64" i="5"/>
  <c r="H64" i="5"/>
  <c r="H13" i="4"/>
  <c r="J64" i="5"/>
  <c r="K65" i="5"/>
  <c r="G70" i="5"/>
  <c r="J10" i="4"/>
  <c r="I65" i="5"/>
  <c r="M65" i="5"/>
  <c r="J65" i="5"/>
  <c r="G65" i="5"/>
  <c r="H65" i="5"/>
  <c r="L65" i="5"/>
  <c r="D9" i="4"/>
  <c r="G12" i="4"/>
  <c r="J12" i="4"/>
  <c r="F68" i="5"/>
  <c r="D12" i="4"/>
  <c r="A63" i="5"/>
  <c r="D10" i="3"/>
  <c r="G49" i="5"/>
  <c r="A56" i="5"/>
  <c r="C56" i="5"/>
  <c r="H8" i="2"/>
  <c r="F8" i="2"/>
  <c r="J21" i="5"/>
  <c r="G21" i="5"/>
  <c r="H21" i="5"/>
  <c r="L21" i="5"/>
  <c r="F10" i="2"/>
  <c r="G9" i="4"/>
  <c r="J9" i="4"/>
  <c r="J14" i="4"/>
  <c r="K13" i="4"/>
  <c r="K63" i="5"/>
  <c r="L63" i="5"/>
  <c r="G63" i="5"/>
  <c r="H63" i="5"/>
  <c r="J63" i="5"/>
  <c r="M63" i="5"/>
  <c r="G11" i="4"/>
  <c r="J11" i="4"/>
  <c r="D14" i="3"/>
  <c r="E13" i="3"/>
  <c r="B82" i="5"/>
  <c r="A75" i="5"/>
  <c r="C75" i="5"/>
  <c r="G68" i="5"/>
  <c r="D10" i="4"/>
  <c r="A76" i="5"/>
  <c r="B76" i="5"/>
  <c r="E13" i="4"/>
  <c r="D14" i="4"/>
</calcChain>
</file>

<file path=xl/sharedStrings.xml><?xml version="1.0" encoding="utf-8"?>
<sst xmlns="http://schemas.openxmlformats.org/spreadsheetml/2006/main" count="271" uniqueCount="77">
  <si>
    <t>Head</t>
  </si>
  <si>
    <t xml:space="preserve"> </t>
  </si>
  <si>
    <t>Buckling</t>
  </si>
  <si>
    <t>CALCULATED</t>
  </si>
  <si>
    <t>TANK CALCULATIONS SINGLE WALL (&amp; TYPE ll) USING UL58</t>
  </si>
  <si>
    <t>Length, in.</t>
  </si>
  <si>
    <t>Radius, in</t>
  </si>
  <si>
    <t>T</t>
  </si>
  <si>
    <t>Pressure</t>
  </si>
  <si>
    <t>Elasticity</t>
  </si>
  <si>
    <t>U</t>
  </si>
  <si>
    <t>Delta-P</t>
  </si>
  <si>
    <t>Galllons</t>
  </si>
  <si>
    <t>Thickness, in.</t>
  </si>
  <si>
    <t xml:space="preserve">   L/D</t>
  </si>
  <si>
    <t>Radius</t>
  </si>
  <si>
    <t xml:space="preserve">          NUMBER OF STIFFENERS</t>
  </si>
  <si>
    <t>BURIAL DEPTH, FT.</t>
  </si>
  <si>
    <t>TANK CAPACITY, Gal.</t>
  </si>
  <si>
    <t>TANK DIAMETER, in.</t>
  </si>
  <si>
    <t>Diameter, in.</t>
  </si>
  <si>
    <t>Gallons</t>
  </si>
  <si>
    <t>Area, in2</t>
  </si>
  <si>
    <t>Length, ft.</t>
  </si>
  <si>
    <t>L/D</t>
  </si>
  <si>
    <t>Thickness, in</t>
  </si>
  <si>
    <t>TANK LENGTH, ft.</t>
  </si>
  <si>
    <t>TANK THICKNESS, in.</t>
  </si>
  <si>
    <r>
      <t>M OF I reqd, in</t>
    </r>
    <r>
      <rPr>
        <vertAlign val="superscript"/>
        <sz val="10"/>
        <rFont val="Arial"/>
        <family val="2"/>
      </rPr>
      <t>4</t>
    </r>
  </si>
  <si>
    <t>NA</t>
  </si>
  <si>
    <t xml:space="preserve"> Tp</t>
  </si>
  <si>
    <t>Ts</t>
  </si>
  <si>
    <t>T equiv</t>
  </si>
  <si>
    <t>1 STIFFENER</t>
  </si>
  <si>
    <t>MULT. GAL TIMES 0.80</t>
  </si>
  <si>
    <t>Te</t>
  </si>
  <si>
    <t>T1</t>
  </si>
  <si>
    <t>T2</t>
  </si>
  <si>
    <t>2 STIFFENERS</t>
  </si>
  <si>
    <t>MULT. GAL BY .7143</t>
  </si>
  <si>
    <t xml:space="preserve">  </t>
  </si>
  <si>
    <t>BURIAL DEPTH, meters</t>
  </si>
  <si>
    <t>TANK CAPACITY, liters</t>
  </si>
  <si>
    <t>TANK DIAMETER, meters</t>
  </si>
  <si>
    <t>TANK LENGTH, meters</t>
  </si>
  <si>
    <t>TANK THICKNESS, mm</t>
  </si>
  <si>
    <r>
      <t>M OF I reqd, cm</t>
    </r>
    <r>
      <rPr>
        <vertAlign val="superscript"/>
        <sz val="10"/>
        <rFont val="Arial"/>
        <family val="2"/>
      </rPr>
      <t>4</t>
    </r>
  </si>
  <si>
    <t>CONVERSIONS</t>
  </si>
  <si>
    <t>Burial Depth, in.</t>
  </si>
  <si>
    <t>Tank Capacity, Gal</t>
  </si>
  <si>
    <t>Tank Diameter, in.</t>
  </si>
  <si>
    <t>TANK CALCULATIONS DOUBLE WALL TYPE I USING UL58</t>
  </si>
  <si>
    <t>Radius, in.</t>
  </si>
  <si>
    <t>Radius, In</t>
  </si>
  <si>
    <r>
      <t>Area, in</t>
    </r>
    <r>
      <rPr>
        <b/>
        <u/>
        <vertAlign val="superscript"/>
        <sz val="10"/>
        <rFont val="Arial"/>
        <family val="2"/>
      </rPr>
      <t>2</t>
    </r>
  </si>
  <si>
    <t>Tequiv, in.</t>
  </si>
  <si>
    <t>Tequiv, mm</t>
  </si>
  <si>
    <t>Burial Depth, ft.</t>
  </si>
  <si>
    <t>Tank Capacity, Gal.</t>
  </si>
  <si>
    <t>Primary min thickness=0.123 in.</t>
  </si>
  <si>
    <t>BURIAL DEPTH, ft.</t>
  </si>
  <si>
    <t>Input Cells</t>
  </si>
  <si>
    <t>Output Cells</t>
  </si>
  <si>
    <t>Secondary min thickness =0.093 in.</t>
  </si>
  <si>
    <t>Single Wall Calculations</t>
  </si>
  <si>
    <t>Single Wall Metric Calculations</t>
  </si>
  <si>
    <t>Double Wall Calculations</t>
  </si>
  <si>
    <t>Double Wall Metric Calculations</t>
  </si>
  <si>
    <t>Nonconforming Result</t>
  </si>
  <si>
    <t xml:space="preserve">Tpri, in. </t>
  </si>
  <si>
    <t xml:space="preserve">Tsec, in. </t>
  </si>
  <si>
    <t>Primary min thickness = 3.12 mm</t>
  </si>
  <si>
    <t>N/A</t>
  </si>
  <si>
    <t>Tpri</t>
  </si>
  <si>
    <t>Tsec</t>
  </si>
  <si>
    <t xml:space="preserve">T1, in. </t>
  </si>
  <si>
    <t>Secondary min thickness = 2.36mm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</si>
</sst>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#.####"/>
  </numFmts>
  <fonts count="16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vertAlign val="superscript"/>
      <sz val="10"/>
      <name val="Arial"/>
      <family val="2"/>
    </font>
    <font>
      <sz val="11"/>
      <name val="Courier New"/>
      <family val="3"/>
    </font>
    <font>
      <b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u/>
      <sz val="10"/>
      <color theme="10"/>
      <name val="Arial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2" fillId="0" borderId="0"/>
    <xf numFmtId="0" fontId="9" fillId="0" borderId="0"/>
  </cellStyleXfs>
  <cellXfs count="113">
    <xf numFmtId="0" fontId="0" fillId="0" borderId="0" xfId="0"/>
    <xf numFmtId="0" fontId="0" fillId="0" borderId="1" xfId="0" applyBorder="1"/>
    <xf numFmtId="3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8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7" xfId="0" applyFont="1" applyBorder="1"/>
    <xf numFmtId="0" fontId="0" fillId="0" borderId="0" xfId="0" applyProtection="1"/>
    <xf numFmtId="0" fontId="6" fillId="0" borderId="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0" fillId="0" borderId="7" xfId="0" applyFont="1" applyBorder="1" applyProtection="1"/>
    <xf numFmtId="0" fontId="10" fillId="0" borderId="1" xfId="0" applyFont="1" applyBorder="1" applyProtection="1"/>
    <xf numFmtId="0" fontId="10" fillId="0" borderId="1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3" fontId="7" fillId="0" borderId="2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0" xfId="0" applyFont="1" applyProtection="1"/>
    <xf numFmtId="0" fontId="6" fillId="0" borderId="7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172" fontId="7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172" fontId="0" fillId="0" borderId="0" xfId="0" applyNumberFormat="1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172" fontId="0" fillId="2" borderId="9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11" fillId="0" borderId="0" xfId="0" applyFont="1"/>
    <xf numFmtId="0" fontId="2" fillId="2" borderId="9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Protection="1">
      <protection hidden="1"/>
    </xf>
    <xf numFmtId="0" fontId="2" fillId="0" borderId="9" xfId="0" applyFont="1" applyBorder="1" applyProtection="1">
      <protection hidden="1"/>
    </xf>
    <xf numFmtId="0" fontId="5" fillId="0" borderId="9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2" fillId="4" borderId="0" xfId="0" applyFont="1" applyFill="1" applyProtection="1">
      <protection hidden="1"/>
    </xf>
    <xf numFmtId="0" fontId="2" fillId="0" borderId="0" xfId="3" applyFont="1" applyProtection="1">
      <protection hidden="1"/>
    </xf>
    <xf numFmtId="0" fontId="2" fillId="0" borderId="0" xfId="3" applyFont="1" applyBorder="1" applyProtection="1">
      <protection hidden="1"/>
    </xf>
    <xf numFmtId="0" fontId="15" fillId="0" borderId="0" xfId="1" applyFont="1" applyProtection="1">
      <protection hidden="1"/>
    </xf>
    <xf numFmtId="172" fontId="0" fillId="0" borderId="3" xfId="0" applyNumberFormat="1" applyBorder="1" applyAlignment="1">
      <alignment horizontal="center"/>
    </xf>
    <xf numFmtId="0" fontId="0" fillId="0" borderId="2" xfId="0" applyFill="1" applyBorder="1"/>
    <xf numFmtId="0" fontId="2" fillId="0" borderId="9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Protection="1"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172" fontId="2" fillId="3" borderId="9" xfId="0" applyNumberFormat="1" applyFont="1" applyFill="1" applyBorder="1" applyAlignment="1" applyProtection="1">
      <alignment horizontal="center"/>
      <protection hidden="1"/>
    </xf>
    <xf numFmtId="172" fontId="2" fillId="0" borderId="0" xfId="0" applyNumberFormat="1" applyFont="1" applyProtection="1">
      <protection hidden="1"/>
    </xf>
    <xf numFmtId="172" fontId="2" fillId="0" borderId="0" xfId="0" applyNumberFormat="1" applyFont="1" applyAlignment="1" applyProtection="1">
      <alignment horizontal="center"/>
      <protection hidden="1"/>
    </xf>
    <xf numFmtId="172" fontId="2" fillId="0" borderId="0" xfId="0" applyNumberFormat="1" applyFont="1" applyFill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7" fillId="0" borderId="0" xfId="0" applyFont="1" applyProtection="1"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172" fontId="0" fillId="0" borderId="0" xfId="0" applyNumberFormat="1" applyProtection="1">
      <protection hidden="1"/>
    </xf>
    <xf numFmtId="172" fontId="0" fillId="0" borderId="9" xfId="0" applyNumberFormat="1" applyBorder="1" applyAlignment="1" applyProtection="1">
      <alignment horizontal="center"/>
      <protection hidden="1"/>
    </xf>
    <xf numFmtId="172" fontId="0" fillId="0" borderId="0" xfId="0" applyNumberFormat="1" applyAlignment="1" applyProtection="1">
      <alignment horizontal="center"/>
      <protection hidden="1"/>
    </xf>
    <xf numFmtId="172" fontId="0" fillId="3" borderId="9" xfId="0" applyNumberFormat="1" applyFill="1" applyBorder="1" applyAlignment="1" applyProtection="1">
      <alignment horizontal="center"/>
      <protection hidden="1"/>
    </xf>
    <xf numFmtId="172" fontId="0" fillId="0" borderId="0" xfId="0" applyNumberFormat="1" applyFill="1" applyAlignment="1" applyProtection="1">
      <alignment horizontal="center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4" borderId="0" xfId="0" applyFill="1" applyProtection="1">
      <protection hidden="1"/>
    </xf>
  </cellXfs>
  <cellStyles count="4">
    <cellStyle name="Hyperlink" xfId="1" builtinId="8"/>
    <cellStyle name="Normal" xfId="0" builtinId="0"/>
    <cellStyle name="Normal 2" xfId="2"/>
    <cellStyle name="Normal_Roark" xfId="3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6"/>
  <sheetViews>
    <sheetView showGridLines="0" workbookViewId="0">
      <selection activeCell="H24" sqref="H24"/>
    </sheetView>
  </sheetViews>
  <sheetFormatPr defaultRowHeight="12.75" x14ac:dyDescent="0.2"/>
  <cols>
    <col min="1" max="1" width="5.7109375" style="74" customWidth="1"/>
    <col min="2" max="2" width="26.5703125" style="74" bestFit="1" customWidth="1"/>
    <col min="3" max="3" width="10.7109375" style="74" customWidth="1"/>
    <col min="4" max="8" width="9.140625" style="74"/>
    <col min="9" max="10" width="9.140625" style="90"/>
    <col min="11" max="11" width="10.85546875" style="90" customWidth="1"/>
    <col min="12" max="12" width="8.5703125" style="90" customWidth="1"/>
    <col min="13" max="14" width="10.42578125" style="90" customWidth="1"/>
    <col min="15" max="15" width="10.7109375" style="90" customWidth="1"/>
    <col min="16" max="16" width="10.42578125" style="90" customWidth="1"/>
    <col min="17" max="17" width="11.5703125" style="90" customWidth="1"/>
    <col min="18" max="18" width="6.42578125" style="90" customWidth="1"/>
    <col min="19" max="19" width="9.28515625" style="90" customWidth="1"/>
    <col min="20" max="20" width="11.42578125" style="90" customWidth="1"/>
    <col min="21" max="21" width="12" style="90" customWidth="1"/>
    <col min="22" max="22" width="10.42578125" style="90" customWidth="1"/>
    <col min="23" max="23" width="6.28515625" style="90" customWidth="1"/>
    <col min="24" max="16384" width="9.140625" style="90"/>
  </cols>
  <sheetData>
    <row r="2" spans="2:10" x14ac:dyDescent="0.2">
      <c r="C2" s="74" t="s">
        <v>4</v>
      </c>
    </row>
    <row r="4" spans="2:10" x14ac:dyDescent="0.2">
      <c r="D4" s="74" t="s">
        <v>1</v>
      </c>
      <c r="F4" s="78" t="s">
        <v>16</v>
      </c>
    </row>
    <row r="5" spans="2:10" x14ac:dyDescent="0.2">
      <c r="B5" s="74" t="s">
        <v>17</v>
      </c>
      <c r="D5" s="69"/>
      <c r="F5" s="91">
        <v>1</v>
      </c>
      <c r="G5" s="92"/>
      <c r="H5" s="91">
        <v>2</v>
      </c>
    </row>
    <row r="6" spans="2:10" x14ac:dyDescent="0.2">
      <c r="B6" s="74" t="s">
        <v>18</v>
      </c>
      <c r="D6" s="69"/>
      <c r="F6" s="93">
        <f>D6</f>
        <v>0</v>
      </c>
      <c r="G6" s="92"/>
      <c r="H6" s="93">
        <f>D6</f>
        <v>0</v>
      </c>
    </row>
    <row r="7" spans="2:10" x14ac:dyDescent="0.2">
      <c r="B7" s="74" t="s">
        <v>19</v>
      </c>
      <c r="D7" s="69"/>
      <c r="F7" s="93">
        <f>D7</f>
        <v>0</v>
      </c>
      <c r="G7" s="92"/>
      <c r="H7" s="93">
        <f>D7</f>
        <v>0</v>
      </c>
    </row>
    <row r="8" spans="2:10" x14ac:dyDescent="0.2">
      <c r="B8" s="74" t="s">
        <v>26</v>
      </c>
      <c r="D8" s="94" t="e">
        <f>'UL58 Formulas'!D9</f>
        <v>#DIV/0!</v>
      </c>
      <c r="E8" s="95"/>
      <c r="F8" s="94" t="e">
        <f>D8</f>
        <v>#DIV/0!</v>
      </c>
      <c r="G8" s="96"/>
      <c r="H8" s="94" t="e">
        <f>D8</f>
        <v>#DIV/0!</v>
      </c>
    </row>
    <row r="9" spans="2:10" x14ac:dyDescent="0.2">
      <c r="B9" s="74" t="s">
        <v>27</v>
      </c>
      <c r="D9" s="94" t="e">
        <f>'UL58 Formulas'!K4</f>
        <v>#DIV/0!</v>
      </c>
      <c r="E9" s="95"/>
      <c r="F9" s="94" t="e">
        <f>'UL58 Formulas'!G10</f>
        <v>#DIV/0!</v>
      </c>
      <c r="G9" s="97"/>
      <c r="H9" s="94" t="e">
        <f>'UL58 Formulas'!G11</f>
        <v>#DIV/0!</v>
      </c>
    </row>
    <row r="10" spans="2:10" ht="14.25" x14ac:dyDescent="0.2">
      <c r="B10" s="74" t="s">
        <v>28</v>
      </c>
      <c r="D10" s="93" t="s">
        <v>29</v>
      </c>
      <c r="F10" s="98" t="e">
        <f>(0.11*'UL58 Formulas'!D4*('UL58 Formulas'!A4/2)*('UL58 Formulas'!A9^3)/('UL58 Formulas'!E4))</f>
        <v>#DIV/0!</v>
      </c>
      <c r="G10" s="99"/>
      <c r="H10" s="94" t="e">
        <f>(0.11*'UL58 Formulas'!D4*('UL58 Formulas'!A4/3)*('UL58 Formulas'!A9^3)/('UL58 Formulas'!E4))</f>
        <v>#DIV/0!</v>
      </c>
    </row>
    <row r="11" spans="2:10" x14ac:dyDescent="0.2">
      <c r="B11" s="74" t="s">
        <v>24</v>
      </c>
      <c r="D11" s="94" t="e">
        <f>D8*12/D7</f>
        <v>#DIV/0!</v>
      </c>
      <c r="E11" s="95"/>
      <c r="F11" s="94" t="e">
        <f>F8*12/F7</f>
        <v>#DIV/0!</v>
      </c>
      <c r="G11" s="96"/>
      <c r="H11" s="94" t="e">
        <f>H8*12/H7</f>
        <v>#DIV/0!</v>
      </c>
    </row>
    <row r="12" spans="2:10" x14ac:dyDescent="0.2">
      <c r="J12" s="100"/>
    </row>
    <row r="13" spans="2:10" x14ac:dyDescent="0.2">
      <c r="J13" s="100"/>
    </row>
    <row r="14" spans="2:10" x14ac:dyDescent="0.2">
      <c r="B14" s="79" t="s">
        <v>61</v>
      </c>
      <c r="J14" s="100"/>
    </row>
    <row r="15" spans="2:10" x14ac:dyDescent="0.2">
      <c r="B15" s="80"/>
      <c r="J15" s="100"/>
    </row>
    <row r="16" spans="2:10" x14ac:dyDescent="0.2">
      <c r="B16" s="81" t="s">
        <v>62</v>
      </c>
      <c r="J16" s="100"/>
    </row>
    <row r="17" spans="2:23" x14ac:dyDescent="0.2">
      <c r="B17" s="80"/>
      <c r="J17" s="100"/>
    </row>
    <row r="18" spans="2:23" x14ac:dyDescent="0.2">
      <c r="B18" s="82" t="s">
        <v>68</v>
      </c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</row>
    <row r="19" spans="2:23" x14ac:dyDescent="0.2"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</row>
    <row r="20" spans="2:23" x14ac:dyDescent="0.2">
      <c r="B20" s="83" t="s">
        <v>59</v>
      </c>
      <c r="D20" s="75"/>
    </row>
    <row r="113" spans="2:5" x14ac:dyDescent="0.2">
      <c r="B113" s="74" t="s">
        <v>1</v>
      </c>
      <c r="C113" s="74" t="s">
        <v>1</v>
      </c>
      <c r="D113" s="74" t="s">
        <v>1</v>
      </c>
      <c r="E113" s="74" t="s">
        <v>40</v>
      </c>
    </row>
    <row r="114" spans="2:5" x14ac:dyDescent="0.2">
      <c r="B114" s="74" t="s">
        <v>1</v>
      </c>
      <c r="C114" s="74" t="s">
        <v>1</v>
      </c>
      <c r="D114" s="74" t="s">
        <v>40</v>
      </c>
      <c r="E114" s="74" t="s">
        <v>40</v>
      </c>
    </row>
    <row r="115" spans="2:5" x14ac:dyDescent="0.2">
      <c r="B115" s="74" t="s">
        <v>1</v>
      </c>
      <c r="C115" s="74" t="s">
        <v>1</v>
      </c>
      <c r="D115" s="74" t="s">
        <v>1</v>
      </c>
      <c r="E115" s="74" t="s">
        <v>1</v>
      </c>
    </row>
    <row r="116" spans="2:5" x14ac:dyDescent="0.2">
      <c r="E116" s="74" t="s">
        <v>1</v>
      </c>
    </row>
  </sheetData>
  <sheetProtection password="C66A" sheet="1"/>
  <phoneticPr fontId="0" type="noConversion"/>
  <conditionalFormatting sqref="D11">
    <cfRule type="cellIs" dxfId="19" priority="4" stopIfTrue="1" operator="greaterThan">
      <formula>8</formula>
    </cfRule>
  </conditionalFormatting>
  <conditionalFormatting sqref="F11">
    <cfRule type="cellIs" dxfId="18" priority="3" stopIfTrue="1" operator="greaterThan">
      <formula>6</formula>
    </cfRule>
  </conditionalFormatting>
  <conditionalFormatting sqref="H11">
    <cfRule type="cellIs" dxfId="17" priority="2" stopIfTrue="1" operator="greaterThan">
      <formula>6</formula>
    </cfRule>
  </conditionalFormatting>
  <conditionalFormatting sqref="D9">
    <cfRule type="cellIs" dxfId="16" priority="1" stopIfTrue="1" operator="lessThan">
      <formula>0.123</formula>
    </cfRule>
  </conditionalFormatting>
  <pageMargins left="0.5" right="0.5" top="1" bottom="1" header="0.5" footer="0.5"/>
  <pageSetup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5"/>
  <sheetViews>
    <sheetView showGridLines="0" workbookViewId="0">
      <selection activeCell="D8" sqref="D8"/>
    </sheetView>
  </sheetViews>
  <sheetFormatPr defaultColWidth="9.28515625" defaultRowHeight="12.75" x14ac:dyDescent="0.2"/>
  <cols>
    <col min="1" max="1" width="5.7109375" style="90" customWidth="1"/>
    <col min="2" max="2" width="28.42578125" style="90" bestFit="1" customWidth="1"/>
    <col min="3" max="3" width="10.7109375" style="90" customWidth="1"/>
    <col min="4" max="10" width="9.28515625" style="90"/>
    <col min="11" max="11" width="11.5703125" style="90" customWidth="1"/>
    <col min="12" max="16" width="9.28515625" style="90"/>
    <col min="17" max="17" width="12" style="90" customWidth="1"/>
    <col min="18" max="20" width="9.28515625" style="90"/>
    <col min="21" max="21" width="12.5703125" style="90" customWidth="1"/>
    <col min="22" max="16384" width="9.28515625" style="90"/>
  </cols>
  <sheetData>
    <row r="2" spans="2:10" x14ac:dyDescent="0.2">
      <c r="C2" s="90" t="s">
        <v>4</v>
      </c>
    </row>
    <row r="4" spans="2:10" x14ac:dyDescent="0.2">
      <c r="D4" s="90" t="s">
        <v>1</v>
      </c>
      <c r="F4" s="78" t="s">
        <v>16</v>
      </c>
    </row>
    <row r="5" spans="2:10" x14ac:dyDescent="0.2">
      <c r="B5" s="90" t="s">
        <v>41</v>
      </c>
      <c r="D5" s="64"/>
      <c r="F5" s="102">
        <v>1</v>
      </c>
      <c r="G5" s="103"/>
      <c r="H5" s="91">
        <v>2</v>
      </c>
    </row>
    <row r="6" spans="2:10" x14ac:dyDescent="0.2">
      <c r="B6" s="90" t="s">
        <v>42</v>
      </c>
      <c r="D6" s="64"/>
      <c r="F6" s="104">
        <f>D6</f>
        <v>0</v>
      </c>
      <c r="G6" s="103"/>
      <c r="H6" s="104">
        <f>D6</f>
        <v>0</v>
      </c>
    </row>
    <row r="7" spans="2:10" x14ac:dyDescent="0.2">
      <c r="B7" s="90" t="s">
        <v>43</v>
      </c>
      <c r="D7" s="65"/>
      <c r="E7" s="105"/>
      <c r="F7" s="106">
        <f>D7</f>
        <v>0</v>
      </c>
      <c r="G7" s="107"/>
      <c r="H7" s="106">
        <f>D7</f>
        <v>0</v>
      </c>
    </row>
    <row r="8" spans="2:10" x14ac:dyDescent="0.2">
      <c r="B8" s="90" t="s">
        <v>44</v>
      </c>
      <c r="D8" s="108" t="e">
        <f>'UL58 Formulas'!D26*0.3048</f>
        <v>#DIV/0!</v>
      </c>
      <c r="E8" s="105"/>
      <c r="F8" s="108" t="e">
        <f>D8</f>
        <v>#DIV/0!</v>
      </c>
      <c r="G8" s="107"/>
      <c r="H8" s="108" t="e">
        <f>D8</f>
        <v>#DIV/0!</v>
      </c>
    </row>
    <row r="9" spans="2:10" x14ac:dyDescent="0.2">
      <c r="B9" s="90" t="s">
        <v>45</v>
      </c>
      <c r="D9" s="108" t="e">
        <f>'UL58 Formulas'!G26*25.4</f>
        <v>#DIV/0!</v>
      </c>
      <c r="E9" s="105"/>
      <c r="F9" s="108" t="e">
        <f>'UL58 Formulas'!G27*25.4</f>
        <v>#DIV/0!</v>
      </c>
      <c r="G9" s="109"/>
      <c r="H9" s="108" t="e">
        <f>'UL58 Formulas'!G28*25.4</f>
        <v>#DIV/0!</v>
      </c>
    </row>
    <row r="10" spans="2:10" ht="14.25" x14ac:dyDescent="0.2">
      <c r="B10" s="90" t="s">
        <v>46</v>
      </c>
      <c r="D10" s="104" t="s">
        <v>29</v>
      </c>
      <c r="F10" s="110" t="e">
        <f>(0.11*'UL58 Formulas'!D21*('UL58 Formulas'!A21/2)*('UL58 Formulas'!A26^3)/('UL58 Formulas'!E21))*41.62</f>
        <v>#DIV/0!</v>
      </c>
      <c r="G10" s="111"/>
      <c r="H10" s="110" t="e">
        <f>(0.11*'UL58 Formulas'!D21*('UL58 Formulas'!A21/3)*('UL58 Formulas'!A26^3)/('UL58 Formulas'!E21))*41.62</f>
        <v>#DIV/0!</v>
      </c>
    </row>
    <row r="11" spans="2:10" x14ac:dyDescent="0.2">
      <c r="B11" s="90" t="s">
        <v>24</v>
      </c>
      <c r="D11" s="108" t="e">
        <f>'UL58 Formulas'!D26*12/'UL58 Formulas'!C38</f>
        <v>#DIV/0!</v>
      </c>
      <c r="E11" s="105"/>
      <c r="F11" s="108" t="e">
        <f>'UL58 Formulas'!D26*12/'UL58 Formulas'!C38</f>
        <v>#DIV/0!</v>
      </c>
      <c r="G11" s="107"/>
      <c r="H11" s="108" t="e">
        <f>'UL58 Formulas'!D26*12/'UL58 Formulas'!C38</f>
        <v>#DIV/0!</v>
      </c>
    </row>
    <row r="12" spans="2:10" x14ac:dyDescent="0.2">
      <c r="J12" s="100"/>
    </row>
    <row r="13" spans="2:10" x14ac:dyDescent="0.2">
      <c r="J13" s="100"/>
    </row>
    <row r="14" spans="2:10" x14ac:dyDescent="0.2">
      <c r="B14" s="79" t="s">
        <v>61</v>
      </c>
      <c r="J14" s="100"/>
    </row>
    <row r="15" spans="2:10" x14ac:dyDescent="0.2">
      <c r="B15" s="80"/>
      <c r="J15" s="100"/>
    </row>
    <row r="16" spans="2:10" ht="12" customHeight="1" x14ac:dyDescent="0.2">
      <c r="B16" s="81" t="s">
        <v>62</v>
      </c>
      <c r="J16" s="100"/>
    </row>
    <row r="17" spans="2:10" ht="12" customHeight="1" x14ac:dyDescent="0.2">
      <c r="B17" s="80"/>
      <c r="J17" s="100"/>
    </row>
    <row r="18" spans="2:10" x14ac:dyDescent="0.2">
      <c r="B18" s="82" t="s">
        <v>68</v>
      </c>
      <c r="C18" s="112"/>
      <c r="D18" s="90" t="s">
        <v>1</v>
      </c>
    </row>
    <row r="20" spans="2:10" x14ac:dyDescent="0.2">
      <c r="B20" s="74" t="s">
        <v>71</v>
      </c>
      <c r="C20" s="90" t="s">
        <v>1</v>
      </c>
    </row>
    <row r="112" spans="2:5" x14ac:dyDescent="0.2">
      <c r="B112" s="90" t="s">
        <v>1</v>
      </c>
      <c r="C112" s="90" t="s">
        <v>1</v>
      </c>
      <c r="D112" s="90" t="s">
        <v>1</v>
      </c>
      <c r="E112" s="90" t="s">
        <v>40</v>
      </c>
    </row>
    <row r="113" spans="2:5" x14ac:dyDescent="0.2">
      <c r="B113" s="90" t="s">
        <v>1</v>
      </c>
      <c r="C113" s="90" t="s">
        <v>1</v>
      </c>
      <c r="D113" s="90" t="s">
        <v>40</v>
      </c>
      <c r="E113" s="90" t="s">
        <v>40</v>
      </c>
    </row>
    <row r="114" spans="2:5" x14ac:dyDescent="0.2">
      <c r="B114" s="90" t="s">
        <v>1</v>
      </c>
      <c r="C114" s="90" t="s">
        <v>1</v>
      </c>
      <c r="D114" s="90" t="s">
        <v>1</v>
      </c>
      <c r="E114" s="90" t="s">
        <v>1</v>
      </c>
    </row>
    <row r="115" spans="2:5" x14ac:dyDescent="0.2">
      <c r="E115" s="90" t="s">
        <v>1</v>
      </c>
    </row>
  </sheetData>
  <sheetProtection password="C66A" sheet="1"/>
  <phoneticPr fontId="0" type="noConversion"/>
  <conditionalFormatting sqref="D11">
    <cfRule type="cellIs" dxfId="15" priority="4" stopIfTrue="1" operator="greaterThan">
      <formula>8</formula>
    </cfRule>
  </conditionalFormatting>
  <conditionalFormatting sqref="F11">
    <cfRule type="cellIs" dxfId="14" priority="3" stopIfTrue="1" operator="greaterThan">
      <formula>6</formula>
    </cfRule>
  </conditionalFormatting>
  <conditionalFormatting sqref="H11">
    <cfRule type="cellIs" dxfId="13" priority="2" stopIfTrue="1" operator="greaterThan">
      <formula>6</formula>
    </cfRule>
  </conditionalFormatting>
  <conditionalFormatting sqref="D9">
    <cfRule type="cellIs" dxfId="12" priority="1" stopIfTrue="1" operator="lessThan">
      <formula>3.12</formula>
    </cfRule>
  </conditionalFormatting>
  <pageMargins left="0.5" right="0.5" top="1" bottom="1" header="0.5" footer="0.5"/>
  <pageSetup orientation="portrait" horizontalDpi="4294967292" verticalDpi="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19"/>
  <sheetViews>
    <sheetView showGridLines="0" topLeftCell="A4" workbookViewId="0">
      <selection activeCell="D16" sqref="D16"/>
    </sheetView>
  </sheetViews>
  <sheetFormatPr defaultColWidth="9.28515625" defaultRowHeight="12.75" x14ac:dyDescent="0.2"/>
  <cols>
    <col min="1" max="1" width="5.7109375" style="74" customWidth="1"/>
    <col min="2" max="2" width="26.5703125" style="74" bestFit="1" customWidth="1"/>
    <col min="3" max="3" width="10.7109375" style="74" customWidth="1"/>
    <col min="4" max="12" width="9.28515625" style="74"/>
    <col min="13" max="13" width="12.7109375" style="74" customWidth="1"/>
    <col min="14" max="14" width="10.5703125" style="74" customWidth="1"/>
    <col min="15" max="16" width="12" style="74" customWidth="1"/>
    <col min="17" max="17" width="10.7109375" style="74" customWidth="1"/>
    <col min="18" max="18" width="12" style="74" customWidth="1"/>
    <col min="19" max="19" width="13.28515625" style="74" customWidth="1"/>
    <col min="20" max="20" width="7.5703125" style="74" customWidth="1"/>
    <col min="21" max="22" width="10.7109375" style="74" customWidth="1"/>
    <col min="23" max="23" width="13.28515625" style="74" customWidth="1"/>
    <col min="24" max="24" width="12" style="74" customWidth="1"/>
    <col min="25" max="25" width="10" style="74" customWidth="1"/>
    <col min="26" max="16384" width="9.28515625" style="74"/>
  </cols>
  <sheetData>
    <row r="3" spans="2:11" x14ac:dyDescent="0.2">
      <c r="C3" s="74" t="s">
        <v>51</v>
      </c>
    </row>
    <row r="5" spans="2:11" x14ac:dyDescent="0.2">
      <c r="D5" s="74" t="s">
        <v>1</v>
      </c>
      <c r="G5" s="78" t="s">
        <v>16</v>
      </c>
    </row>
    <row r="6" spans="2:11" x14ac:dyDescent="0.2">
      <c r="B6" s="74" t="s">
        <v>60</v>
      </c>
      <c r="D6" s="66"/>
      <c r="E6" s="77"/>
      <c r="F6" s="74" t="s">
        <v>1</v>
      </c>
      <c r="G6" s="72">
        <v>1</v>
      </c>
      <c r="H6" s="73"/>
      <c r="J6" s="72">
        <v>2</v>
      </c>
    </row>
    <row r="7" spans="2:11" x14ac:dyDescent="0.2">
      <c r="B7" s="74" t="s">
        <v>18</v>
      </c>
      <c r="D7" s="66"/>
      <c r="E7" s="77"/>
      <c r="F7" s="74" t="s">
        <v>1</v>
      </c>
      <c r="G7" s="71">
        <f>D7</f>
        <v>0</v>
      </c>
      <c r="H7" s="75"/>
      <c r="J7" s="71">
        <f>D7</f>
        <v>0</v>
      </c>
    </row>
    <row r="8" spans="2:11" x14ac:dyDescent="0.2">
      <c r="B8" s="74" t="s">
        <v>19</v>
      </c>
      <c r="D8" s="66"/>
      <c r="E8" s="77"/>
      <c r="G8" s="71">
        <f>D8</f>
        <v>0</v>
      </c>
      <c r="H8" s="75"/>
      <c r="J8" s="71">
        <f>D8</f>
        <v>0</v>
      </c>
    </row>
    <row r="9" spans="2:11" x14ac:dyDescent="0.2">
      <c r="B9" s="74" t="s">
        <v>26</v>
      </c>
      <c r="D9" s="70" t="e">
        <f>'UL58 Formulas'!D49</f>
        <v>#DIV/0!</v>
      </c>
      <c r="E9" s="77"/>
      <c r="G9" s="70" t="e">
        <f>D9</f>
        <v>#DIV/0!</v>
      </c>
      <c r="H9" s="75"/>
      <c r="J9" s="70" t="e">
        <f>D9</f>
        <v>#DIV/0!</v>
      </c>
    </row>
    <row r="10" spans="2:11" x14ac:dyDescent="0.2">
      <c r="B10" s="74" t="s">
        <v>55</v>
      </c>
      <c r="D10" s="70" t="e">
        <f>'UL58 Formulas'!K44</f>
        <v>#DIV/0!</v>
      </c>
      <c r="E10" s="77"/>
      <c r="G10" s="70" t="e">
        <f>'UL58 Formulas'!G50</f>
        <v>#DIV/0!</v>
      </c>
      <c r="H10" s="76"/>
      <c r="J10" s="70" t="e">
        <f>'UL58 Formulas'!G51</f>
        <v>#DIV/0!</v>
      </c>
    </row>
    <row r="11" spans="2:11" ht="14.25" x14ac:dyDescent="0.2">
      <c r="B11" s="74" t="s">
        <v>28</v>
      </c>
      <c r="D11" s="71" t="s">
        <v>72</v>
      </c>
      <c r="E11" s="75"/>
      <c r="G11" s="70" t="e">
        <f>(0.11*'UL58 Formulas'!D44*('UL58 Formulas'!A44/2)*('UL58 Formulas'!A49^3))/('UL58 Formulas'!E44)</f>
        <v>#DIV/0!</v>
      </c>
      <c r="H11" s="76"/>
      <c r="J11" s="70" t="e">
        <f>(0.11*'UL58 Formulas'!D44*('UL58 Formulas'!A44/3)*('UL58 Formulas'!A49^3))/('UL58 Formulas'!E44)</f>
        <v>#DIV/0!</v>
      </c>
    </row>
    <row r="12" spans="2:11" x14ac:dyDescent="0.2">
      <c r="B12" s="74" t="s">
        <v>24</v>
      </c>
      <c r="D12" s="70" t="e">
        <f>D9*12/D8</f>
        <v>#DIV/0!</v>
      </c>
      <c r="E12" s="76"/>
      <c r="G12" s="70" t="e">
        <f>G9*12/G8</f>
        <v>#DIV/0!</v>
      </c>
      <c r="H12" s="76"/>
      <c r="J12" s="70" t="e">
        <f>J9*12/J8</f>
        <v>#DIV/0!</v>
      </c>
    </row>
    <row r="13" spans="2:11" x14ac:dyDescent="0.2">
      <c r="B13" s="74" t="s">
        <v>69</v>
      </c>
      <c r="D13" s="66"/>
      <c r="E13" s="70" t="e">
        <f>(D10^2.5-E14^2.5)^0.4</f>
        <v>#DIV/0!</v>
      </c>
      <c r="G13" s="71">
        <f>D13</f>
        <v>0</v>
      </c>
      <c r="H13" s="70" t="e">
        <f>(G10^2.5-H14^2.5)^0.4</f>
        <v>#DIV/0!</v>
      </c>
      <c r="J13" s="71">
        <f>D13</f>
        <v>0</v>
      </c>
      <c r="K13" s="70" t="e">
        <f>(J10^2.5-K14^2.5)^0.4</f>
        <v>#DIV/0!</v>
      </c>
    </row>
    <row r="14" spans="2:11" x14ac:dyDescent="0.2">
      <c r="B14" s="74" t="s">
        <v>70</v>
      </c>
      <c r="D14" s="70" t="e">
        <f>(D10^2.5-D13^2.5)^0.4</f>
        <v>#DIV/0!</v>
      </c>
      <c r="E14" s="67"/>
      <c r="G14" s="70" t="e">
        <f>(G10^2.5-G13^2.5)^0.4</f>
        <v>#DIV/0!</v>
      </c>
      <c r="H14" s="71">
        <f>E14</f>
        <v>0</v>
      </c>
      <c r="J14" s="70" t="e">
        <f>(J10^2.5-J13^2.5)^0.4</f>
        <v>#DIV/0!</v>
      </c>
      <c r="K14" s="71">
        <f>E14</f>
        <v>0</v>
      </c>
    </row>
    <row r="17" spans="2:6" x14ac:dyDescent="0.2">
      <c r="B17" s="79" t="s">
        <v>61</v>
      </c>
      <c r="F17" s="80" t="s">
        <v>1</v>
      </c>
    </row>
    <row r="18" spans="2:6" s="80" customFormat="1" x14ac:dyDescent="0.2"/>
    <row r="19" spans="2:6" x14ac:dyDescent="0.2">
      <c r="B19" s="81" t="s">
        <v>62</v>
      </c>
    </row>
    <row r="20" spans="2:6" s="80" customFormat="1" x14ac:dyDescent="0.2"/>
    <row r="21" spans="2:6" x14ac:dyDescent="0.2">
      <c r="B21" s="82" t="s">
        <v>68</v>
      </c>
    </row>
    <row r="23" spans="2:6" x14ac:dyDescent="0.2">
      <c r="B23" s="83" t="s">
        <v>59</v>
      </c>
    </row>
    <row r="24" spans="2:6" x14ac:dyDescent="0.2">
      <c r="B24" s="84" t="s">
        <v>63</v>
      </c>
    </row>
    <row r="30" spans="2:6" x14ac:dyDescent="0.2">
      <c r="F30" s="85"/>
    </row>
    <row r="116" spans="2:6" x14ac:dyDescent="0.2">
      <c r="B116" s="74" t="s">
        <v>1</v>
      </c>
      <c r="C116" s="74" t="s">
        <v>1</v>
      </c>
      <c r="D116" s="74" t="s">
        <v>1</v>
      </c>
      <c r="F116" s="74" t="s">
        <v>40</v>
      </c>
    </row>
    <row r="117" spans="2:6" x14ac:dyDescent="0.2">
      <c r="B117" s="74" t="s">
        <v>1</v>
      </c>
      <c r="C117" s="74" t="s">
        <v>1</v>
      </c>
      <c r="D117" s="74" t="s">
        <v>40</v>
      </c>
      <c r="F117" s="74" t="s">
        <v>40</v>
      </c>
    </row>
    <row r="118" spans="2:6" x14ac:dyDescent="0.2">
      <c r="B118" s="74" t="s">
        <v>1</v>
      </c>
      <c r="C118" s="74" t="s">
        <v>1</v>
      </c>
      <c r="D118" s="74" t="s">
        <v>1</v>
      </c>
      <c r="F118" s="74" t="s">
        <v>1</v>
      </c>
    </row>
    <row r="119" spans="2:6" x14ac:dyDescent="0.2">
      <c r="F119" s="74" t="s">
        <v>1</v>
      </c>
    </row>
  </sheetData>
  <sheetProtection password="C66A" sheet="1"/>
  <phoneticPr fontId="0" type="noConversion"/>
  <conditionalFormatting sqref="D12">
    <cfRule type="cellIs" dxfId="11" priority="7" stopIfTrue="1" operator="greaterThan">
      <formula>8</formula>
    </cfRule>
  </conditionalFormatting>
  <conditionalFormatting sqref="G12">
    <cfRule type="cellIs" priority="6" stopIfTrue="1" operator="greaterThan">
      <formula>6</formula>
    </cfRule>
  </conditionalFormatting>
  <conditionalFormatting sqref="J12">
    <cfRule type="cellIs" priority="5" stopIfTrue="1" operator="greaterThan">
      <formula>6</formula>
    </cfRule>
  </conditionalFormatting>
  <conditionalFormatting sqref="D14">
    <cfRule type="cellIs" dxfId="10" priority="4" stopIfTrue="1" operator="lessThan">
      <formula>0.093</formula>
    </cfRule>
  </conditionalFormatting>
  <conditionalFormatting sqref="E13">
    <cfRule type="cellIs" dxfId="9" priority="3" stopIfTrue="1" operator="lessThan">
      <formula>0.123</formula>
    </cfRule>
  </conditionalFormatting>
  <conditionalFormatting sqref="G14 J14">
    <cfRule type="cellIs" dxfId="8" priority="2" stopIfTrue="1" operator="lessThan">
      <formula>0.093</formula>
    </cfRule>
  </conditionalFormatting>
  <conditionalFormatting sqref="H13 K13">
    <cfRule type="cellIs" dxfId="7" priority="1" stopIfTrue="1" operator="lessThan">
      <formula>0.123</formula>
    </cfRule>
  </conditionalFormatting>
  <pageMargins left="0.75" right="0.75" top="1" bottom="1" header="0.5" footer="0.5"/>
  <pageSetup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19"/>
  <sheetViews>
    <sheetView showGridLines="0" tabSelected="1" workbookViewId="0">
      <selection activeCell="E15" sqref="E15"/>
    </sheetView>
  </sheetViews>
  <sheetFormatPr defaultColWidth="9.28515625" defaultRowHeight="12.75" x14ac:dyDescent="0.2"/>
  <cols>
    <col min="1" max="1" width="5.7109375" style="74" customWidth="1"/>
    <col min="2" max="2" width="28.42578125" style="74" bestFit="1" customWidth="1"/>
    <col min="3" max="3" width="3.85546875" style="74" customWidth="1"/>
    <col min="4" max="12" width="9.28515625" style="74"/>
    <col min="13" max="13" width="17.42578125" style="74" customWidth="1"/>
    <col min="14" max="14" width="10.5703125" style="74" customWidth="1"/>
    <col min="15" max="16" width="12" style="74" customWidth="1"/>
    <col min="17" max="17" width="10.7109375" style="74" customWidth="1"/>
    <col min="18" max="18" width="12" style="74" customWidth="1"/>
    <col min="19" max="19" width="13.28515625" style="74" customWidth="1"/>
    <col min="20" max="20" width="7.5703125" style="74" customWidth="1"/>
    <col min="21" max="22" width="10.7109375" style="74" customWidth="1"/>
    <col min="23" max="23" width="13.28515625" style="74" customWidth="1"/>
    <col min="24" max="24" width="12" style="74" customWidth="1"/>
    <col min="25" max="25" width="10" style="74" customWidth="1"/>
    <col min="26" max="16384" width="9.28515625" style="74"/>
  </cols>
  <sheetData>
    <row r="3" spans="2:11" x14ac:dyDescent="0.2">
      <c r="C3" s="74" t="s">
        <v>51</v>
      </c>
    </row>
    <row r="5" spans="2:11" x14ac:dyDescent="0.2">
      <c r="D5" s="74" t="s">
        <v>1</v>
      </c>
      <c r="G5" s="78" t="s">
        <v>16</v>
      </c>
      <c r="H5" s="78"/>
    </row>
    <row r="6" spans="2:11" x14ac:dyDescent="0.2">
      <c r="B6" s="74" t="s">
        <v>41</v>
      </c>
      <c r="D6" s="66"/>
      <c r="E6" s="76"/>
      <c r="F6" s="74" t="s">
        <v>1</v>
      </c>
      <c r="G6" s="72">
        <v>1</v>
      </c>
      <c r="H6" s="73"/>
      <c r="J6" s="72">
        <v>2</v>
      </c>
    </row>
    <row r="7" spans="2:11" x14ac:dyDescent="0.2">
      <c r="B7" s="74" t="s">
        <v>42</v>
      </c>
      <c r="D7" s="66"/>
      <c r="E7" s="76"/>
      <c r="F7" s="74" t="s">
        <v>1</v>
      </c>
      <c r="G7" s="71">
        <f>D7</f>
        <v>0</v>
      </c>
      <c r="H7" s="75"/>
      <c r="J7" s="71">
        <f>D7</f>
        <v>0</v>
      </c>
    </row>
    <row r="8" spans="2:11" x14ac:dyDescent="0.2">
      <c r="B8" s="74" t="s">
        <v>43</v>
      </c>
      <c r="D8" s="66"/>
      <c r="E8" s="76"/>
      <c r="G8" s="71">
        <f>D8</f>
        <v>0</v>
      </c>
      <c r="H8" s="75"/>
      <c r="J8" s="71">
        <f>D8</f>
        <v>0</v>
      </c>
    </row>
    <row r="9" spans="2:11" x14ac:dyDescent="0.2">
      <c r="B9" s="74" t="s">
        <v>44</v>
      </c>
      <c r="D9" s="70" t="e">
        <f>'UL58 Formulas'!D68*0.3048</f>
        <v>#DIV/0!</v>
      </c>
      <c r="E9" s="76"/>
      <c r="G9" s="70" t="e">
        <f>D9</f>
        <v>#DIV/0!</v>
      </c>
      <c r="H9" s="76"/>
      <c r="J9" s="70" t="e">
        <f>D9</f>
        <v>#DIV/0!</v>
      </c>
    </row>
    <row r="10" spans="2:11" x14ac:dyDescent="0.2">
      <c r="B10" s="74" t="s">
        <v>56</v>
      </c>
      <c r="D10" s="70" t="e">
        <f>'UL58 Formulas'!G68*25.4</f>
        <v>#DIV/0!</v>
      </c>
      <c r="E10" s="76"/>
      <c r="G10" s="70" t="e">
        <f>'UL58 Formulas'!G69*25.4</f>
        <v>#DIV/0!</v>
      </c>
      <c r="H10" s="76"/>
      <c r="J10" s="70" t="e">
        <f>'UL58 Formulas'!G70*25.4</f>
        <v>#DIV/0!</v>
      </c>
    </row>
    <row r="11" spans="2:11" ht="14.25" x14ac:dyDescent="0.2">
      <c r="B11" s="74" t="s">
        <v>46</v>
      </c>
      <c r="D11" s="71" t="s">
        <v>29</v>
      </c>
      <c r="E11" s="75"/>
      <c r="G11" s="70" t="e">
        <f>((0.11*'UL58 Formulas'!D63*('UL58 Formulas'!A63/2)*('UL58 Formulas'!A68^3))/('UL58 Formulas'!E63))*41.62</f>
        <v>#DIV/0!</v>
      </c>
      <c r="H11" s="76"/>
      <c r="J11" s="70" t="e">
        <f>(0.11*'UL58 Formulas'!D63*('UL58 Formulas'!A63/3)*('UL58 Formulas'!A68^3)/('UL58 Formulas'!E63))*41.62</f>
        <v>#DIV/0!</v>
      </c>
    </row>
    <row r="12" spans="2:11" x14ac:dyDescent="0.2">
      <c r="B12" s="74" t="s">
        <v>24</v>
      </c>
      <c r="D12" s="70" t="e">
        <f>'UL58 Formulas'!D68*12/'UL58 Formulas'!B81</f>
        <v>#DIV/0!</v>
      </c>
      <c r="E12" s="76"/>
      <c r="G12" s="70" t="e">
        <f>'UL58 Formulas'!D68*12/'UL58 Formulas'!B81</f>
        <v>#DIV/0!</v>
      </c>
      <c r="H12" s="76"/>
      <c r="J12" s="70" t="e">
        <f>'UL58 Formulas'!D68*12/'UL58 Formulas'!B81</f>
        <v>#DIV/0!</v>
      </c>
    </row>
    <row r="13" spans="2:11" x14ac:dyDescent="0.2">
      <c r="B13" s="74" t="s">
        <v>73</v>
      </c>
      <c r="D13" s="66"/>
      <c r="E13" s="70" t="e">
        <f>(('UL58 Formulas'!B82^2.5-'UL58 Formulas'!B84^2.5)^0.4)*25.4</f>
        <v>#DIV/0!</v>
      </c>
      <c r="G13" s="71">
        <f>D13</f>
        <v>0</v>
      </c>
      <c r="H13" s="70" t="e">
        <f>(G10^2.5-H14^2.5)^0.4</f>
        <v>#DIV/0!</v>
      </c>
      <c r="J13" s="71">
        <f>D13</f>
        <v>0</v>
      </c>
      <c r="K13" s="70" t="e">
        <f>(J10^2.5-K14^2.5)^0.4</f>
        <v>#DIV/0!</v>
      </c>
    </row>
    <row r="14" spans="2:11" x14ac:dyDescent="0.2">
      <c r="B14" s="74" t="s">
        <v>74</v>
      </c>
      <c r="D14" s="70" t="e">
        <f>(('UL58 Formulas'!B82^2.5-'UL58 Formulas'!B83^2.5)^0.4)*25.4</f>
        <v>#DIV/0!</v>
      </c>
      <c r="E14" s="66"/>
      <c r="G14" s="70" t="e">
        <f>(G10^2.5-G13^2.5)^0.4</f>
        <v>#DIV/0!</v>
      </c>
      <c r="H14" s="88">
        <f>E14</f>
        <v>0</v>
      </c>
      <c r="J14" s="70" t="e">
        <f>(J10^2.5-J13^2.5)^0.4</f>
        <v>#DIV/0!</v>
      </c>
      <c r="K14" s="71">
        <f>E14</f>
        <v>0</v>
      </c>
    </row>
    <row r="15" spans="2:11" ht="14.25" x14ac:dyDescent="0.2">
      <c r="D15" s="76"/>
      <c r="E15" s="76"/>
      <c r="F15" s="80"/>
      <c r="G15" s="89"/>
      <c r="H15" s="76"/>
      <c r="I15" s="80"/>
      <c r="J15" s="76"/>
      <c r="K15" s="75"/>
    </row>
    <row r="17" spans="2:6" x14ac:dyDescent="0.2">
      <c r="B17" s="79" t="s">
        <v>61</v>
      </c>
      <c r="F17" s="80" t="s">
        <v>1</v>
      </c>
    </row>
    <row r="18" spans="2:6" s="80" customFormat="1" x14ac:dyDescent="0.2"/>
    <row r="19" spans="2:6" x14ac:dyDescent="0.2">
      <c r="B19" s="81" t="s">
        <v>62</v>
      </c>
      <c r="D19" s="74" t="s">
        <v>1</v>
      </c>
    </row>
    <row r="20" spans="2:6" s="80" customFormat="1" x14ac:dyDescent="0.2"/>
    <row r="21" spans="2:6" x14ac:dyDescent="0.2">
      <c r="B21" s="82" t="s">
        <v>68</v>
      </c>
    </row>
    <row r="23" spans="2:6" x14ac:dyDescent="0.2">
      <c r="B23" s="74" t="s">
        <v>71</v>
      </c>
    </row>
    <row r="24" spans="2:6" x14ac:dyDescent="0.2">
      <c r="B24" s="84" t="s">
        <v>76</v>
      </c>
    </row>
    <row r="116" spans="2:6" x14ac:dyDescent="0.2">
      <c r="B116" s="74" t="s">
        <v>1</v>
      </c>
      <c r="C116" s="74" t="s">
        <v>1</v>
      </c>
      <c r="D116" s="74" t="s">
        <v>1</v>
      </c>
      <c r="F116" s="74" t="s">
        <v>40</v>
      </c>
    </row>
    <row r="117" spans="2:6" x14ac:dyDescent="0.2">
      <c r="B117" s="74" t="s">
        <v>1</v>
      </c>
      <c r="C117" s="74" t="s">
        <v>1</v>
      </c>
      <c r="D117" s="74" t="s">
        <v>40</v>
      </c>
      <c r="F117" s="74" t="s">
        <v>40</v>
      </c>
    </row>
    <row r="118" spans="2:6" x14ac:dyDescent="0.2">
      <c r="B118" s="74" t="s">
        <v>1</v>
      </c>
      <c r="C118" s="74" t="s">
        <v>1</v>
      </c>
      <c r="D118" s="74" t="s">
        <v>1</v>
      </c>
      <c r="F118" s="74" t="s">
        <v>1</v>
      </c>
    </row>
    <row r="119" spans="2:6" x14ac:dyDescent="0.2">
      <c r="F119" s="74" t="s">
        <v>1</v>
      </c>
    </row>
  </sheetData>
  <sheetProtection password="C66A" sheet="1"/>
  <phoneticPr fontId="0" type="noConversion"/>
  <conditionalFormatting sqref="D12">
    <cfRule type="cellIs" dxfId="6" priority="7" stopIfTrue="1" operator="greaterThan">
      <formula>8</formula>
    </cfRule>
  </conditionalFormatting>
  <conditionalFormatting sqref="G12">
    <cfRule type="cellIs" dxfId="5" priority="6" stopIfTrue="1" operator="greaterThan">
      <formula>6</formula>
    </cfRule>
  </conditionalFormatting>
  <conditionalFormatting sqref="J12">
    <cfRule type="cellIs" dxfId="4" priority="5" stopIfTrue="1" operator="greaterThan">
      <formula>6</formula>
    </cfRule>
  </conditionalFormatting>
  <conditionalFormatting sqref="G14">
    <cfRule type="cellIs" dxfId="3" priority="4" stopIfTrue="1" operator="lessThan">
      <formula>2.36</formula>
    </cfRule>
  </conditionalFormatting>
  <conditionalFormatting sqref="H13">
    <cfRule type="cellIs" dxfId="2" priority="3" stopIfTrue="1" operator="lessThan">
      <formula>3.12</formula>
    </cfRule>
  </conditionalFormatting>
  <conditionalFormatting sqref="J14">
    <cfRule type="cellIs" dxfId="1" priority="2" stopIfTrue="1" operator="lessThan">
      <formula>2.36</formula>
    </cfRule>
  </conditionalFormatting>
  <conditionalFormatting sqref="K13">
    <cfRule type="cellIs" dxfId="0" priority="1" stopIfTrue="1" operator="lessThan">
      <formula>3.12</formula>
    </cfRule>
  </conditionalFormatting>
  <pageMargins left="0.75" right="0.75" top="1" bottom="1" header="0.5" footer="0.5"/>
  <pageSetup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opLeftCell="A61" workbookViewId="0">
      <selection activeCell="C82" sqref="C82"/>
    </sheetView>
  </sheetViews>
  <sheetFormatPr defaultRowHeight="12.75" x14ac:dyDescent="0.2"/>
  <cols>
    <col min="1" max="1" width="20" bestFit="1" customWidth="1"/>
    <col min="2" max="2" width="10" bestFit="1" customWidth="1"/>
    <col min="3" max="4" width="11.85546875" bestFit="1" customWidth="1"/>
    <col min="5" max="5" width="20" bestFit="1" customWidth="1"/>
    <col min="6" max="6" width="44" bestFit="1" customWidth="1"/>
    <col min="7" max="7" width="13" bestFit="1" customWidth="1"/>
    <col min="8" max="8" width="11.85546875" bestFit="1" customWidth="1"/>
    <col min="9" max="9" width="10" bestFit="1" customWidth="1"/>
    <col min="10" max="10" width="13.28515625" bestFit="1" customWidth="1"/>
    <col min="11" max="11" width="13" bestFit="1" customWidth="1"/>
    <col min="12" max="12" width="11.85546875" bestFit="1" customWidth="1"/>
    <col min="13" max="13" width="9.42578125" bestFit="1" customWidth="1"/>
  </cols>
  <sheetData>
    <row r="1" spans="1:13" ht="21" thickBot="1" x14ac:dyDescent="0.35">
      <c r="F1" s="68" t="s">
        <v>64</v>
      </c>
    </row>
    <row r="2" spans="1:13" x14ac:dyDescent="0.2">
      <c r="A2" s="39"/>
      <c r="B2" s="40"/>
      <c r="C2" s="40"/>
      <c r="D2" s="41" t="s">
        <v>0</v>
      </c>
      <c r="E2" s="41" t="s">
        <v>1</v>
      </c>
      <c r="F2" s="41" t="s">
        <v>1</v>
      </c>
      <c r="G2" s="41" t="s">
        <v>2</v>
      </c>
      <c r="H2" s="41"/>
      <c r="I2" s="41"/>
      <c r="J2" s="41" t="s">
        <v>3</v>
      </c>
      <c r="K2" s="41"/>
      <c r="L2" s="41"/>
      <c r="M2" s="42"/>
    </row>
    <row r="3" spans="1:13" x14ac:dyDescent="0.2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8</v>
      </c>
      <c r="H3" s="32" t="s">
        <v>11</v>
      </c>
      <c r="I3" s="32" t="s">
        <v>5</v>
      </c>
      <c r="J3" s="32" t="s">
        <v>12</v>
      </c>
      <c r="K3" s="32" t="s">
        <v>13</v>
      </c>
      <c r="L3" s="32" t="s">
        <v>14</v>
      </c>
      <c r="M3" s="33" t="s">
        <v>15</v>
      </c>
    </row>
    <row r="4" spans="1:13" x14ac:dyDescent="0.2">
      <c r="A4" s="43" t="e">
        <f>D9*12</f>
        <v>#DIV/0!</v>
      </c>
      <c r="B4" s="44">
        <f>A9/2</f>
        <v>0</v>
      </c>
      <c r="C4" s="44"/>
      <c r="D4" s="44">
        <f>((2*B4/12)+'UL58 Single Wall &amp; Type II'!D5)*62.4/144</f>
        <v>0</v>
      </c>
      <c r="E4" s="44">
        <v>29500000</v>
      </c>
      <c r="F4" s="44">
        <v>0.28699999999999998</v>
      </c>
      <c r="G4" s="44" t="e">
        <f>((0.807*E4*C4^2)/(A4*B4))*(((1-F4^2)^-3)*(C4/B4)^2)^0.25</f>
        <v>#DIV/0!</v>
      </c>
      <c r="H4" s="44" t="e">
        <f>D4-G4</f>
        <v>#DIV/0!</v>
      </c>
      <c r="I4" s="44" t="e">
        <f>((0.807*E4*C4^2)/(D4*B4))*(((1-F4^2)^-3)*(C4/B4)^2)^0.25</f>
        <v>#DIV/0!</v>
      </c>
      <c r="J4" s="44" t="e">
        <f>A4*(B4)^2*3.1416*7.48/1728</f>
        <v>#DIV/0!</v>
      </c>
      <c r="K4" s="44" t="e">
        <f>(((D4*A4)*((1-(F4)^2)^0.75)*(B4^1.5))/(0.807*E4))^0.4</f>
        <v>#DIV/0!</v>
      </c>
      <c r="L4" s="44" t="e">
        <f>A4/(2*B4)</f>
        <v>#DIV/0!</v>
      </c>
      <c r="M4" s="45" t="e">
        <f>(((D4*A4)*((1-F4^2)^0.75)*(C4^2.5))/(0.807*E4))^0.667</f>
        <v>#DIV/0!</v>
      </c>
    </row>
    <row r="5" spans="1:13" x14ac:dyDescent="0.2">
      <c r="A5" s="46" t="e">
        <f>D10*12</f>
        <v>#DIV/0!</v>
      </c>
      <c r="B5" s="44">
        <f>A10/2</f>
        <v>0</v>
      </c>
      <c r="C5" s="44"/>
      <c r="D5" s="44">
        <f>((2*B5/12)+'UL58 Single Wall &amp; Type II'!D5)*62.4/144</f>
        <v>0</v>
      </c>
      <c r="E5" s="44">
        <v>29500000</v>
      </c>
      <c r="F5" s="44">
        <v>0.28699999999999998</v>
      </c>
      <c r="G5" s="44" t="e">
        <f>((0.807*E5*C5^2)/(A5*B5))*(((1-F5^2)^-3)*(C5/B5)^2)^0.25</f>
        <v>#DIV/0!</v>
      </c>
      <c r="H5" s="44" t="e">
        <f>D5-G5</f>
        <v>#DIV/0!</v>
      </c>
      <c r="I5" s="44" t="e">
        <f>((0.807*E5*C5^2)/(D5*B5))*(((1-F5^2)^-3)*(C5/B5)^2)^0.25</f>
        <v>#DIV/0!</v>
      </c>
      <c r="J5" s="44" t="e">
        <f>A5*(B5)^2*3.1416*7.48/1728</f>
        <v>#DIV/0!</v>
      </c>
      <c r="K5" s="44" t="e">
        <f>(((D5*A5)*((1-(F5)^2)^0.75)*(B5^1.5))/(0.807*E5))^0.4</f>
        <v>#DIV/0!</v>
      </c>
      <c r="L5" s="44" t="e">
        <f>A5/(2*B5)</f>
        <v>#DIV/0!</v>
      </c>
      <c r="M5" s="45" t="e">
        <f>(((D5*A5)*((1-F5^2)^0.75)*(C5^2.5))/(0.807*E5))^0.667</f>
        <v>#DIV/0!</v>
      </c>
    </row>
    <row r="6" spans="1:13" ht="13.5" thickBot="1" x14ac:dyDescent="0.25">
      <c r="A6" s="47" t="e">
        <f>D11*12</f>
        <v>#DIV/0!</v>
      </c>
      <c r="B6" s="48">
        <f>A11/2</f>
        <v>0</v>
      </c>
      <c r="C6" s="48"/>
      <c r="D6" s="48">
        <f>((2*B6/12)+'UL58 Single Wall &amp; Type II'!D5)*62.4/144</f>
        <v>0</v>
      </c>
      <c r="E6" s="48">
        <v>29500000</v>
      </c>
      <c r="F6" s="48">
        <v>0.28699999999999998</v>
      </c>
      <c r="G6" s="48" t="e">
        <f>((0.807*E6*C6^2)/(A6*B6))*(((1-F6^2)^-3)*(C6/B6)^2)^0.25</f>
        <v>#DIV/0!</v>
      </c>
      <c r="H6" s="48" t="e">
        <f>D6-G6</f>
        <v>#DIV/0!</v>
      </c>
      <c r="I6" s="48" t="e">
        <f>((0.807*E6*C6^2)/(D6*B6))*(((1-F6^2)^-3)*(C6/B6)^2)^0.25</f>
        <v>#DIV/0!</v>
      </c>
      <c r="J6" s="48" t="e">
        <f>A6*(B6)^2*3.1416*7.48/1728</f>
        <v>#DIV/0!</v>
      </c>
      <c r="K6" s="48" t="e">
        <f>(((D6*A6)*((1-(F6)^2)^0.75)*(B6^1.5))/(0.807*E6))^0.4</f>
        <v>#DIV/0!</v>
      </c>
      <c r="L6" s="48" t="e">
        <f>A6/(2*B6)</f>
        <v>#DIV/0!</v>
      </c>
      <c r="M6" s="49" t="e">
        <f>(((D6*A6)*((1-F6^2)^0.75)*(C6^2.5))/(0.807*E6))^0.667</f>
        <v>#DIV/0!</v>
      </c>
    </row>
    <row r="7" spans="1:13" ht="13.5" thickBo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x14ac:dyDescent="0.2">
      <c r="A8" s="51" t="s">
        <v>20</v>
      </c>
      <c r="B8" s="52" t="s">
        <v>21</v>
      </c>
      <c r="C8" s="52" t="s">
        <v>22</v>
      </c>
      <c r="D8" s="52" t="s">
        <v>23</v>
      </c>
      <c r="E8" s="52" t="s">
        <v>6</v>
      </c>
      <c r="F8" s="52" t="s">
        <v>24</v>
      </c>
      <c r="G8" s="53" t="s">
        <v>25</v>
      </c>
      <c r="H8" s="50"/>
      <c r="I8" s="50"/>
      <c r="J8" s="50"/>
      <c r="K8" s="50"/>
      <c r="L8" s="50"/>
      <c r="M8" s="50"/>
    </row>
    <row r="9" spans="1:13" x14ac:dyDescent="0.2">
      <c r="A9" s="46">
        <f>'UL58 Single Wall &amp; Type II'!D7</f>
        <v>0</v>
      </c>
      <c r="B9" s="44">
        <f>'UL58 Single Wall &amp; Type II'!D6</f>
        <v>0</v>
      </c>
      <c r="C9" s="44">
        <f>3.1416*(A9/2)^2/144</f>
        <v>0</v>
      </c>
      <c r="D9" s="44" t="e">
        <f>B9/C9/7.48</f>
        <v>#DIV/0!</v>
      </c>
      <c r="E9" s="44">
        <f>A9/2</f>
        <v>0</v>
      </c>
      <c r="F9" s="44" t="e">
        <f>D9/(A9/12)</f>
        <v>#DIV/0!</v>
      </c>
      <c r="G9" s="45" t="e">
        <f>K4</f>
        <v>#DIV/0!</v>
      </c>
      <c r="H9" s="50"/>
      <c r="I9" s="50"/>
      <c r="J9" s="50"/>
      <c r="K9" s="50"/>
      <c r="L9" s="50"/>
      <c r="M9" s="50"/>
    </row>
    <row r="10" spans="1:13" x14ac:dyDescent="0.2">
      <c r="A10" s="46">
        <f>'UL58 Single Wall &amp; Type II'!D7</f>
        <v>0</v>
      </c>
      <c r="B10" s="44">
        <f>'UL58 Single Wall &amp; Type II'!D6*0.8</f>
        <v>0</v>
      </c>
      <c r="C10" s="44">
        <f>3.1416*(A10/2)^2/144</f>
        <v>0</v>
      </c>
      <c r="D10" s="44" t="e">
        <f>B10/C10/7.48</f>
        <v>#DIV/0!</v>
      </c>
      <c r="E10" s="44"/>
      <c r="F10" s="44"/>
      <c r="G10" s="45" t="e">
        <f>K5</f>
        <v>#DIV/0!</v>
      </c>
      <c r="H10" s="50"/>
      <c r="I10" s="50"/>
      <c r="J10" s="50"/>
      <c r="K10" s="50"/>
      <c r="L10" s="50"/>
      <c r="M10" s="50"/>
    </row>
    <row r="11" spans="1:13" ht="13.5" thickBot="1" x14ac:dyDescent="0.25">
      <c r="A11" s="47">
        <f>'UL58 Single Wall &amp; Type II'!D7</f>
        <v>0</v>
      </c>
      <c r="B11" s="48">
        <f>'UL58 Single Wall &amp; Type II'!D6*0.7143</f>
        <v>0</v>
      </c>
      <c r="C11" s="48">
        <f>3.1416*(A11/2)^2/144</f>
        <v>0</v>
      </c>
      <c r="D11" s="48" t="e">
        <f>B11/C11/7.48</f>
        <v>#DIV/0!</v>
      </c>
      <c r="E11" s="48"/>
      <c r="F11" s="48"/>
      <c r="G11" s="49" t="e">
        <f>K6</f>
        <v>#DIV/0!</v>
      </c>
      <c r="H11" s="50"/>
      <c r="I11" s="50"/>
      <c r="J11" s="50"/>
      <c r="K11" s="50"/>
      <c r="L11" s="50"/>
      <c r="M11" s="50"/>
    </row>
    <row r="12" spans="1:13" x14ac:dyDescent="0.2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x14ac:dyDescent="0.2">
      <c r="A13" s="50" t="s">
        <v>33</v>
      </c>
      <c r="B13" s="56"/>
      <c r="C13" s="56"/>
      <c r="D13" s="57"/>
      <c r="E13" s="30"/>
      <c r="F13" s="50"/>
      <c r="G13" s="50"/>
      <c r="H13" s="50"/>
      <c r="I13" s="50"/>
      <c r="J13" s="50"/>
      <c r="K13" s="50"/>
      <c r="L13" s="50"/>
      <c r="M13" s="50"/>
    </row>
    <row r="14" spans="1:13" x14ac:dyDescent="0.2">
      <c r="A14" s="50" t="s">
        <v>34</v>
      </c>
      <c r="B14" s="58"/>
      <c r="C14" s="58"/>
      <c r="D14" s="57"/>
      <c r="E14" s="30"/>
      <c r="F14" s="50"/>
      <c r="G14" s="50"/>
      <c r="H14" s="50"/>
      <c r="I14" s="50"/>
      <c r="J14" s="50"/>
      <c r="K14" s="50"/>
      <c r="L14" s="50"/>
      <c r="M14" s="50"/>
    </row>
    <row r="15" spans="1:13" x14ac:dyDescent="0.2">
      <c r="A15" s="50" t="s">
        <v>38</v>
      </c>
      <c r="B15" s="56"/>
      <c r="C15" s="56"/>
      <c r="D15" s="57"/>
      <c r="E15" s="30"/>
      <c r="F15" s="50"/>
      <c r="G15" s="50"/>
      <c r="H15" s="50"/>
      <c r="I15" s="50"/>
      <c r="J15" s="50"/>
      <c r="K15" s="50"/>
      <c r="L15" s="50"/>
      <c r="M15" s="50"/>
    </row>
    <row r="16" spans="1:13" x14ac:dyDescent="0.2">
      <c r="A16" s="50" t="s">
        <v>39</v>
      </c>
      <c r="B16" s="58"/>
      <c r="C16" s="59"/>
      <c r="D16" s="57"/>
      <c r="E16" s="30"/>
      <c r="F16" s="50"/>
      <c r="G16" s="50"/>
      <c r="H16" s="50"/>
      <c r="I16" s="50"/>
      <c r="J16" s="50"/>
      <c r="K16" s="50"/>
      <c r="L16" s="50"/>
      <c r="M16" s="50"/>
    </row>
    <row r="18" spans="1:13" ht="21" thickBot="1" x14ac:dyDescent="0.35">
      <c r="F18" s="68" t="s">
        <v>65</v>
      </c>
    </row>
    <row r="19" spans="1:13" x14ac:dyDescent="0.2">
      <c r="A19" s="9"/>
      <c r="B19" s="10"/>
      <c r="C19" s="10"/>
      <c r="D19" s="11" t="s">
        <v>0</v>
      </c>
      <c r="E19" s="11" t="s">
        <v>1</v>
      </c>
      <c r="F19" s="11" t="s">
        <v>1</v>
      </c>
      <c r="G19" s="11" t="s">
        <v>2</v>
      </c>
      <c r="H19" s="11"/>
      <c r="I19" s="11"/>
      <c r="J19" s="11" t="s">
        <v>3</v>
      </c>
      <c r="K19" s="11"/>
      <c r="L19" s="11"/>
      <c r="M19" s="12"/>
    </row>
    <row r="20" spans="1:13" x14ac:dyDescent="0.2">
      <c r="A20" s="13" t="s">
        <v>5</v>
      </c>
      <c r="B20" s="14" t="s">
        <v>6</v>
      </c>
      <c r="C20" s="14" t="s">
        <v>7</v>
      </c>
      <c r="D20" s="14" t="s">
        <v>8</v>
      </c>
      <c r="E20" s="14" t="s">
        <v>9</v>
      </c>
      <c r="F20" s="14" t="s">
        <v>10</v>
      </c>
      <c r="G20" s="14" t="s">
        <v>8</v>
      </c>
      <c r="H20" s="14" t="s">
        <v>11</v>
      </c>
      <c r="I20" s="14" t="s">
        <v>5</v>
      </c>
      <c r="J20" s="14" t="s">
        <v>12</v>
      </c>
      <c r="K20" s="14" t="s">
        <v>13</v>
      </c>
      <c r="L20" s="14" t="s">
        <v>14</v>
      </c>
      <c r="M20" s="15" t="s">
        <v>15</v>
      </c>
    </row>
    <row r="21" spans="1:13" x14ac:dyDescent="0.2">
      <c r="A21" s="2" t="e">
        <f>D26*12</f>
        <v>#DIV/0!</v>
      </c>
      <c r="B21" s="3">
        <f>A26/2</f>
        <v>0</v>
      </c>
      <c r="C21" s="3"/>
      <c r="D21" s="3">
        <f>((2*B21/12)+C36)*62.4/144</f>
        <v>0</v>
      </c>
      <c r="E21" s="3">
        <v>29500000</v>
      </c>
      <c r="F21" s="3">
        <v>0.28699999999999998</v>
      </c>
      <c r="G21" s="3" t="e">
        <f>((0.807*E21*C21^2)/(A21*B21))*(((1-F21^2)^-3)*(C21/B21)^2)^0.25</f>
        <v>#DIV/0!</v>
      </c>
      <c r="H21" s="3" t="e">
        <f>D21-G21</f>
        <v>#DIV/0!</v>
      </c>
      <c r="I21" s="3" t="e">
        <f>((0.807*E21*C21^2)/(D21*B21))*(((1-F21^2)^-3)*(C21/B21)^2)^0.25</f>
        <v>#DIV/0!</v>
      </c>
      <c r="J21" s="3" t="e">
        <f>A21*(B21)^2*3.1416*7.48/1728</f>
        <v>#DIV/0!</v>
      </c>
      <c r="K21" s="3" t="e">
        <f>(((D21*A21)*((1-(F21)^2)^0.75)*(B21^1.5))/(0.807*E21))^0.4</f>
        <v>#DIV/0!</v>
      </c>
      <c r="L21" s="3" t="e">
        <f>A21/(2*B21)</f>
        <v>#DIV/0!</v>
      </c>
      <c r="M21" s="4" t="e">
        <f>(((D21*A21)*((1-F21^2)^0.75)*(C21^2.5))/(0.807*E21))^0.667</f>
        <v>#DIV/0!</v>
      </c>
    </row>
    <row r="22" spans="1:13" x14ac:dyDescent="0.2">
      <c r="A22" s="5" t="e">
        <f>D27*12</f>
        <v>#DIV/0!</v>
      </c>
      <c r="B22" s="3">
        <f>A27/2</f>
        <v>0</v>
      </c>
      <c r="C22" s="3"/>
      <c r="D22" s="3">
        <f>((2*B22/12)+C36)*62.4/144</f>
        <v>0</v>
      </c>
      <c r="E22" s="3">
        <v>29500000</v>
      </c>
      <c r="F22" s="3">
        <v>0.28699999999999998</v>
      </c>
      <c r="G22" s="3" t="e">
        <f>((0.807*E22*C22^2)/(A22*B22))*(((1-F22^2)^-3)*(C22/B22)^2)^0.25</f>
        <v>#DIV/0!</v>
      </c>
      <c r="H22" s="3" t="e">
        <f>D22-G22</f>
        <v>#DIV/0!</v>
      </c>
      <c r="I22" s="3" t="e">
        <f>((0.807*E22*C22^2)/(D22*B22))*(((1-F22^2)^-3)*(C22/B22)^2)^0.25</f>
        <v>#DIV/0!</v>
      </c>
      <c r="J22" s="3" t="e">
        <f>A22*(B22)^2*3.1416*7.48/1728</f>
        <v>#DIV/0!</v>
      </c>
      <c r="K22" s="3" t="e">
        <f>(((D22*A22)*((1-(F22)^2)^0.75)*(B22^1.5))/(0.807*E22))^0.4</f>
        <v>#DIV/0!</v>
      </c>
      <c r="L22" s="3" t="e">
        <f>A22/(2*B22)</f>
        <v>#DIV/0!</v>
      </c>
      <c r="M22" s="4" t="e">
        <f>(((D22*A22)*((1-F22^2)^0.75)*(C22^2.5))/(0.807*E22))^0.667</f>
        <v>#DIV/0!</v>
      </c>
    </row>
    <row r="23" spans="1:13" ht="13.5" thickBot="1" x14ac:dyDescent="0.25">
      <c r="A23" s="6" t="e">
        <f>D28*12</f>
        <v>#DIV/0!</v>
      </c>
      <c r="B23" s="7">
        <f>A28/2</f>
        <v>0</v>
      </c>
      <c r="C23" s="7"/>
      <c r="D23" s="7">
        <f>((2*B23/12)+C36)*62.4/144</f>
        <v>0</v>
      </c>
      <c r="E23" s="7">
        <v>29500000</v>
      </c>
      <c r="F23" s="7">
        <v>0.28699999999999998</v>
      </c>
      <c r="G23" s="7" t="e">
        <f>((0.807*E23*C23^2)/(A23*B23))*(((1-F23^2)^-3)*(C23/B23)^2)^0.25</f>
        <v>#DIV/0!</v>
      </c>
      <c r="H23" s="7" t="e">
        <f>D23-G23</f>
        <v>#DIV/0!</v>
      </c>
      <c r="I23" s="7" t="e">
        <f>((0.807*E23*C23^2)/(D23*B23))*(((1-F23^2)^-3)*(C23/B23)^2)^0.25</f>
        <v>#DIV/0!</v>
      </c>
      <c r="J23" s="7" t="e">
        <f>A23*(B23)^2*3.1416*7.48/1728</f>
        <v>#DIV/0!</v>
      </c>
      <c r="K23" s="7" t="e">
        <f>(((D23*A23)*((1-(F23)^2)^0.75)*(B23^1.5))/(0.807*E23))^0.4</f>
        <v>#DIV/0!</v>
      </c>
      <c r="L23" s="7" t="e">
        <f>A23/(2*B23)</f>
        <v>#DIV/0!</v>
      </c>
      <c r="M23" s="8" t="e">
        <f>(((D23*A23)*((1-F23^2)^0.75)*(C23^2.5))/(0.807*E23))^0.667</f>
        <v>#DIV/0!</v>
      </c>
    </row>
    <row r="24" spans="1:13" ht="13.5" thickBot="1" x14ac:dyDescent="0.25"/>
    <row r="25" spans="1:13" x14ac:dyDescent="0.2">
      <c r="A25" s="16" t="s">
        <v>20</v>
      </c>
      <c r="B25" s="17" t="s">
        <v>21</v>
      </c>
      <c r="C25" s="17" t="s">
        <v>22</v>
      </c>
      <c r="D25" s="17" t="s">
        <v>23</v>
      </c>
      <c r="E25" s="17" t="s">
        <v>6</v>
      </c>
      <c r="F25" s="17" t="s">
        <v>24</v>
      </c>
      <c r="G25" s="18" t="s">
        <v>25</v>
      </c>
    </row>
    <row r="26" spans="1:13" x14ac:dyDescent="0.2">
      <c r="A26" s="5">
        <f>C38</f>
        <v>0</v>
      </c>
      <c r="B26" s="3">
        <f>C37</f>
        <v>0</v>
      </c>
      <c r="C26" s="3">
        <f>3.1416*(A26/2)^2/144</f>
        <v>0</v>
      </c>
      <c r="D26" s="3" t="e">
        <f>B26/C26/7.48</f>
        <v>#DIV/0!</v>
      </c>
      <c r="E26" s="3">
        <f>A26/2</f>
        <v>0</v>
      </c>
      <c r="F26" s="3" t="e">
        <f>D26/(A26/12)</f>
        <v>#DIV/0!</v>
      </c>
      <c r="G26" s="4" t="e">
        <f>K21</f>
        <v>#DIV/0!</v>
      </c>
    </row>
    <row r="27" spans="1:13" x14ac:dyDescent="0.2">
      <c r="A27" s="5">
        <f>C38</f>
        <v>0</v>
      </c>
      <c r="B27" s="3">
        <f>C37*0.8</f>
        <v>0</v>
      </c>
      <c r="C27" s="3">
        <f>3.1416*(A27/2)^2/144</f>
        <v>0</v>
      </c>
      <c r="D27" s="3" t="e">
        <f>B27/C27/7.48</f>
        <v>#DIV/0!</v>
      </c>
      <c r="E27" s="3"/>
      <c r="F27" s="3"/>
      <c r="G27" s="4" t="e">
        <f>K22</f>
        <v>#DIV/0!</v>
      </c>
    </row>
    <row r="28" spans="1:13" ht="13.5" thickBot="1" x14ac:dyDescent="0.25">
      <c r="A28" s="6">
        <f>C38</f>
        <v>0</v>
      </c>
      <c r="B28" s="7">
        <f>C37*0.7143</f>
        <v>0</v>
      </c>
      <c r="C28" s="7">
        <f>3.1416*(A28/2)^2/144</f>
        <v>0</v>
      </c>
      <c r="D28" s="7" t="e">
        <f>B28/C28/7.48</f>
        <v>#DIV/0!</v>
      </c>
      <c r="E28" s="7"/>
      <c r="F28" s="7"/>
      <c r="G28" s="8" t="e">
        <f>K23</f>
        <v>#DIV/0!</v>
      </c>
    </row>
    <row r="30" spans="1:13" x14ac:dyDescent="0.2">
      <c r="A30" t="s">
        <v>33</v>
      </c>
      <c r="B30" s="62"/>
      <c r="C30" s="62"/>
      <c r="D30" s="61"/>
    </row>
    <row r="31" spans="1:13" x14ac:dyDescent="0.2">
      <c r="A31" t="s">
        <v>34</v>
      </c>
      <c r="B31" s="55"/>
      <c r="C31" s="55"/>
      <c r="D31" s="61"/>
    </row>
    <row r="32" spans="1:13" x14ac:dyDescent="0.2">
      <c r="A32" t="s">
        <v>38</v>
      </c>
      <c r="B32" s="60"/>
      <c r="C32" s="60"/>
      <c r="D32" s="61"/>
    </row>
    <row r="33" spans="1:13" x14ac:dyDescent="0.2">
      <c r="A33" t="s">
        <v>39</v>
      </c>
      <c r="B33" s="55"/>
      <c r="C33" s="63"/>
      <c r="D33" s="61"/>
    </row>
    <row r="34" spans="1:13" ht="13.5" thickBot="1" x14ac:dyDescent="0.25"/>
    <row r="35" spans="1:13" x14ac:dyDescent="0.2">
      <c r="A35" s="29" t="s">
        <v>47</v>
      </c>
      <c r="B35" s="1"/>
      <c r="C35" s="22"/>
    </row>
    <row r="36" spans="1:13" x14ac:dyDescent="0.2">
      <c r="A36" s="23" t="s">
        <v>48</v>
      </c>
      <c r="B36" s="24"/>
      <c r="C36" s="25">
        <f>'UL 58 Metric SW &amp; Type II'!D5/0.3048</f>
        <v>0</v>
      </c>
    </row>
    <row r="37" spans="1:13" x14ac:dyDescent="0.2">
      <c r="A37" s="23" t="s">
        <v>49</v>
      </c>
      <c r="B37" s="24"/>
      <c r="C37" s="25">
        <f>'UL 58 Metric SW &amp; Type II'!D6/3.785</f>
        <v>0</v>
      </c>
    </row>
    <row r="38" spans="1:13" ht="13.5" thickBot="1" x14ac:dyDescent="0.25">
      <c r="A38" s="26" t="s">
        <v>50</v>
      </c>
      <c r="B38" s="27"/>
      <c r="C38" s="28">
        <f>('UL 58 Metric SW &amp; Type II'!D7*12)/0.3048</f>
        <v>0</v>
      </c>
    </row>
    <row r="41" spans="1:13" ht="21" thickBot="1" x14ac:dyDescent="0.35">
      <c r="F41" s="68" t="s">
        <v>66</v>
      </c>
    </row>
    <row r="42" spans="1:13" x14ac:dyDescent="0.2">
      <c r="A42" s="35"/>
      <c r="B42" s="11"/>
      <c r="C42" s="11"/>
      <c r="D42" s="11" t="s">
        <v>0</v>
      </c>
      <c r="E42" s="11" t="s">
        <v>1</v>
      </c>
      <c r="F42" s="11" t="s">
        <v>1</v>
      </c>
      <c r="G42" s="11" t="s">
        <v>2</v>
      </c>
      <c r="H42" s="11"/>
      <c r="I42" s="11"/>
      <c r="J42" s="11" t="s">
        <v>3</v>
      </c>
      <c r="K42" s="11"/>
      <c r="L42" s="11"/>
      <c r="M42" s="12"/>
    </row>
    <row r="43" spans="1:13" x14ac:dyDescent="0.2">
      <c r="A43" s="13" t="s">
        <v>5</v>
      </c>
      <c r="B43" s="14" t="s">
        <v>52</v>
      </c>
      <c r="C43" s="14" t="s">
        <v>7</v>
      </c>
      <c r="D43" s="14" t="s">
        <v>8</v>
      </c>
      <c r="E43" s="14" t="s">
        <v>9</v>
      </c>
      <c r="F43" s="14" t="s">
        <v>10</v>
      </c>
      <c r="G43" s="14" t="s">
        <v>8</v>
      </c>
      <c r="H43" s="14" t="s">
        <v>11</v>
      </c>
      <c r="I43" s="14" t="s">
        <v>5</v>
      </c>
      <c r="J43" s="14" t="s">
        <v>21</v>
      </c>
      <c r="K43" s="14" t="s">
        <v>13</v>
      </c>
      <c r="L43" s="14" t="s">
        <v>14</v>
      </c>
      <c r="M43" s="15" t="s">
        <v>53</v>
      </c>
    </row>
    <row r="44" spans="1:13" x14ac:dyDescent="0.2">
      <c r="A44" s="2" t="e">
        <f>D49*12</f>
        <v>#DIV/0!</v>
      </c>
      <c r="B44" s="3">
        <f>A49/2</f>
        <v>0</v>
      </c>
      <c r="C44" s="3"/>
      <c r="D44" s="3">
        <f>((2*B44/12)+'UL 58 Double Wall &amp; Type I'!D6)*62.4/144</f>
        <v>0</v>
      </c>
      <c r="E44" s="3">
        <v>29500000</v>
      </c>
      <c r="F44" s="3">
        <v>0.28699999999999998</v>
      </c>
      <c r="G44" s="3" t="e">
        <f>((0.807*E44*C44^2)/(A44*B44))*(((1-F44^2)^-3)*(C44/B44)^2)^0.25</f>
        <v>#DIV/0!</v>
      </c>
      <c r="H44" s="3" t="e">
        <f>D44-G44</f>
        <v>#DIV/0!</v>
      </c>
      <c r="I44" s="3" t="e">
        <f>((0.807*E44*C44^2)/(D44*B44))*(((1-F44^2)^-3)*(C44/B44)^2)^0.25</f>
        <v>#DIV/0!</v>
      </c>
      <c r="J44" s="3" t="e">
        <f>A44*(B44)^2*3.1416*7.48/1728</f>
        <v>#DIV/0!</v>
      </c>
      <c r="K44" s="3" t="e">
        <f>(((D44*A44)*((1-(F44)^2)^0.75)*(B44^1.5))/(0.807*E44))^0.4</f>
        <v>#DIV/0!</v>
      </c>
      <c r="L44" s="3" t="e">
        <f>A44/(2*B44)</f>
        <v>#DIV/0!</v>
      </c>
      <c r="M44" s="4" t="e">
        <f>(((D44*A44)*((1-F44^2)^0.75)*(C44^2.5))/(0.807*E44))^0.667</f>
        <v>#DIV/0!</v>
      </c>
    </row>
    <row r="45" spans="1:13" x14ac:dyDescent="0.2">
      <c r="A45" s="5" t="e">
        <f>D50*12</f>
        <v>#DIV/0!</v>
      </c>
      <c r="B45" s="3">
        <f>A50/2</f>
        <v>0</v>
      </c>
      <c r="C45" s="3"/>
      <c r="D45" s="3">
        <f>((2*B45/12)+'UL 58 Double Wall &amp; Type I'!D6)*62.4/144</f>
        <v>0</v>
      </c>
      <c r="E45" s="3">
        <v>29500000</v>
      </c>
      <c r="F45" s="3">
        <v>0.28699999999999998</v>
      </c>
      <c r="G45" s="3" t="e">
        <f>((0.807*E45*C45^2)/(A45*B45))*(((1-F45^2)^-3)*(C45/B45)^2)^0.25</f>
        <v>#DIV/0!</v>
      </c>
      <c r="H45" s="3" t="e">
        <f>D45-G45</f>
        <v>#DIV/0!</v>
      </c>
      <c r="I45" s="3" t="e">
        <f>((0.807*E45*C45^2)/(D45*B45))*(((1-F45^2)^-3)*(C45/B45)^2)^0.25</f>
        <v>#DIV/0!</v>
      </c>
      <c r="J45" s="3" t="e">
        <f>A45*(B45)^2*3.1416*7.48/1728</f>
        <v>#DIV/0!</v>
      </c>
      <c r="K45" s="3" t="e">
        <f>(((D45*A45)*((1-(F45)^2)^0.75)*(B45^1.5))/(0.807*E45))^0.4</f>
        <v>#DIV/0!</v>
      </c>
      <c r="L45" s="3" t="e">
        <f>A45/(2*B45)</f>
        <v>#DIV/0!</v>
      </c>
      <c r="M45" s="4" t="e">
        <f>(((D45*A45)*((1-F45^2)^0.75)*(C45^2.5))/(0.807*E45))^0.667</f>
        <v>#DIV/0!</v>
      </c>
    </row>
    <row r="46" spans="1:13" ht="13.5" thickBot="1" x14ac:dyDescent="0.25">
      <c r="A46" s="6" t="e">
        <f>D51*12</f>
        <v>#DIV/0!</v>
      </c>
      <c r="B46" s="7">
        <f>A51/2</f>
        <v>0</v>
      </c>
      <c r="C46" s="7"/>
      <c r="D46" s="7">
        <f>((2*B46/12)+'UL 58 Double Wall &amp; Type I'!D6)*62.4/144</f>
        <v>0</v>
      </c>
      <c r="E46" s="7">
        <v>29500000</v>
      </c>
      <c r="F46" s="7">
        <v>0.28699999999999998</v>
      </c>
      <c r="G46" s="7" t="e">
        <f>((0.807*E46*C46^2)/(A46*B46))*(((1-F46^2)^-3)*(C46/B46)^2)^0.25</f>
        <v>#DIV/0!</v>
      </c>
      <c r="H46" s="7" t="e">
        <f>D46-G46</f>
        <v>#DIV/0!</v>
      </c>
      <c r="I46" s="7" t="e">
        <f>((0.807*E46*C46^2)/(D46*B46))*(((1-F46^2)^-3)*(C46/B46)^2)^0.25</f>
        <v>#DIV/0!</v>
      </c>
      <c r="J46" s="7" t="e">
        <f>A46*(B46)^2*3.1416*7.48/1728</f>
        <v>#DIV/0!</v>
      </c>
      <c r="K46" s="7" t="e">
        <f>(((D46*A46)*((1-(F46)^2)^0.75)*(B46^1.5))/(0.807*E46))^0.4</f>
        <v>#DIV/0!</v>
      </c>
      <c r="L46" s="7" t="e">
        <f>A46/(2*B46)</f>
        <v>#DIV/0!</v>
      </c>
      <c r="M46" s="8" t="e">
        <f>(((D46*A46)*((1-F46^2)^0.75)*(C46^2.5))/(0.807*E46))^0.667</f>
        <v>#DIV/0!</v>
      </c>
    </row>
    <row r="47" spans="1:13" ht="13.5" thickBot="1" x14ac:dyDescent="0.25"/>
    <row r="48" spans="1:13" ht="14.25" x14ac:dyDescent="0.2">
      <c r="A48" s="36" t="s">
        <v>20</v>
      </c>
      <c r="B48" s="37" t="s">
        <v>21</v>
      </c>
      <c r="C48" s="37" t="s">
        <v>54</v>
      </c>
      <c r="D48" s="37" t="s">
        <v>23</v>
      </c>
      <c r="E48" s="37" t="s">
        <v>52</v>
      </c>
      <c r="F48" s="37" t="s">
        <v>24</v>
      </c>
      <c r="G48" s="38" t="s">
        <v>13</v>
      </c>
    </row>
    <row r="49" spans="1:13" x14ac:dyDescent="0.2">
      <c r="A49" s="5">
        <f>'UL 58 Double Wall &amp; Type I'!D8</f>
        <v>0</v>
      </c>
      <c r="B49" s="3">
        <f>'UL 58 Double Wall &amp; Type I'!D7</f>
        <v>0</v>
      </c>
      <c r="C49" s="3">
        <f>3.1416*(A49/2)^2/144</f>
        <v>0</v>
      </c>
      <c r="D49" s="3" t="e">
        <f>B49/C49/7.48</f>
        <v>#DIV/0!</v>
      </c>
      <c r="E49" s="3">
        <f>A49/2</f>
        <v>0</v>
      </c>
      <c r="F49" s="3" t="e">
        <f>D49/(A49/12)</f>
        <v>#DIV/0!</v>
      </c>
      <c r="G49" s="4" t="e">
        <f>K44</f>
        <v>#DIV/0!</v>
      </c>
    </row>
    <row r="50" spans="1:13" x14ac:dyDescent="0.2">
      <c r="A50" s="5">
        <f>'UL 58 Double Wall &amp; Type I'!D8</f>
        <v>0</v>
      </c>
      <c r="B50" s="3">
        <f>'UL 58 Double Wall &amp; Type I'!D7*0.8</f>
        <v>0</v>
      </c>
      <c r="C50" s="3">
        <f>3.1416*(A50/2)^2/144</f>
        <v>0</v>
      </c>
      <c r="D50" s="3" t="e">
        <f>B50/C50/7.48</f>
        <v>#DIV/0!</v>
      </c>
      <c r="E50" s="3"/>
      <c r="F50" s="3"/>
      <c r="G50" s="4" t="e">
        <f>K45</f>
        <v>#DIV/0!</v>
      </c>
    </row>
    <row r="51" spans="1:13" ht="13.5" thickBot="1" x14ac:dyDescent="0.25">
      <c r="A51" s="6">
        <f>'UL 58 Double Wall &amp; Type I'!D8</f>
        <v>0</v>
      </c>
      <c r="B51" s="7">
        <f>'UL 58 Double Wall &amp; Type I'!D7*0.7143</f>
        <v>0</v>
      </c>
      <c r="C51" s="7">
        <f>3.1416*(A51/2)^2/144</f>
        <v>0</v>
      </c>
      <c r="D51" s="7" t="e">
        <f>B51/C51/7.48</f>
        <v>#DIV/0!</v>
      </c>
      <c r="E51" s="7"/>
      <c r="F51" s="7"/>
      <c r="G51" s="8" t="e">
        <f>K46</f>
        <v>#DIV/0!</v>
      </c>
    </row>
    <row r="52" spans="1:13" ht="13.5" thickBot="1" x14ac:dyDescent="0.25"/>
    <row r="53" spans="1:13" x14ac:dyDescent="0.2">
      <c r="A53" s="36" t="s">
        <v>30</v>
      </c>
      <c r="B53" s="37" t="s">
        <v>31</v>
      </c>
      <c r="C53" s="38" t="s">
        <v>32</v>
      </c>
      <c r="E53" t="s">
        <v>33</v>
      </c>
    </row>
    <row r="54" spans="1:13" x14ac:dyDescent="0.2">
      <c r="A54" s="54">
        <v>0.123</v>
      </c>
      <c r="B54" s="55">
        <v>9.2999999999999999E-2</v>
      </c>
      <c r="C54" s="4">
        <f>(A54^2.5+B54^2.5)^0.4</f>
        <v>0.14454582285793108</v>
      </c>
      <c r="E54" t="s">
        <v>34</v>
      </c>
    </row>
    <row r="55" spans="1:13" x14ac:dyDescent="0.2">
      <c r="A55" s="19" t="s">
        <v>35</v>
      </c>
      <c r="B55" s="20" t="s">
        <v>36</v>
      </c>
      <c r="C55" s="21" t="s">
        <v>37</v>
      </c>
      <c r="E55" t="s">
        <v>38</v>
      </c>
    </row>
    <row r="56" spans="1:13" ht="13.5" thickBot="1" x14ac:dyDescent="0.25">
      <c r="A56" s="6" t="e">
        <f>K44</f>
        <v>#DIV/0!</v>
      </c>
      <c r="B56" s="7">
        <f>'UL 58 Double Wall &amp; Type I'!D13</f>
        <v>0</v>
      </c>
      <c r="C56" s="8" t="e">
        <f>(A56^2.5-B56^2.5)^0.4</f>
        <v>#DIV/0!</v>
      </c>
      <c r="E56" t="s">
        <v>39</v>
      </c>
    </row>
    <row r="60" spans="1:13" ht="21" thickBot="1" x14ac:dyDescent="0.35">
      <c r="F60" s="68" t="s">
        <v>67</v>
      </c>
    </row>
    <row r="61" spans="1:13" x14ac:dyDescent="0.2">
      <c r="A61" s="35"/>
      <c r="B61" s="11"/>
      <c r="C61" s="11"/>
      <c r="D61" s="11" t="s">
        <v>0</v>
      </c>
      <c r="E61" s="11" t="s">
        <v>1</v>
      </c>
      <c r="F61" s="11" t="s">
        <v>1</v>
      </c>
      <c r="G61" s="11" t="s">
        <v>2</v>
      </c>
      <c r="H61" s="11"/>
      <c r="I61" s="11"/>
      <c r="J61" s="11" t="s">
        <v>3</v>
      </c>
      <c r="K61" s="11"/>
      <c r="L61" s="11"/>
      <c r="M61" s="12"/>
    </row>
    <row r="62" spans="1:13" x14ac:dyDescent="0.2">
      <c r="A62" s="13" t="s">
        <v>5</v>
      </c>
      <c r="B62" s="14" t="s">
        <v>52</v>
      </c>
      <c r="C62" s="14" t="s">
        <v>7</v>
      </c>
      <c r="D62" s="14" t="s">
        <v>8</v>
      </c>
      <c r="E62" s="14" t="s">
        <v>9</v>
      </c>
      <c r="F62" s="14" t="s">
        <v>10</v>
      </c>
      <c r="G62" s="14" t="s">
        <v>8</v>
      </c>
      <c r="H62" s="14" t="s">
        <v>11</v>
      </c>
      <c r="I62" s="14" t="s">
        <v>5</v>
      </c>
      <c r="J62" s="14" t="s">
        <v>21</v>
      </c>
      <c r="K62" s="14" t="s">
        <v>13</v>
      </c>
      <c r="L62" s="14" t="s">
        <v>14</v>
      </c>
      <c r="M62" s="15" t="s">
        <v>53</v>
      </c>
    </row>
    <row r="63" spans="1:13" x14ac:dyDescent="0.2">
      <c r="A63" s="2" t="e">
        <f>D68*12</f>
        <v>#DIV/0!</v>
      </c>
      <c r="B63" s="3">
        <f>A68/2</f>
        <v>0</v>
      </c>
      <c r="C63" s="3"/>
      <c r="D63" s="3">
        <f>((2*B63/12)+B79)*62.4/144</f>
        <v>0</v>
      </c>
      <c r="E63" s="3">
        <v>29500000</v>
      </c>
      <c r="F63" s="3">
        <v>0.28699999999999998</v>
      </c>
      <c r="G63" s="3" t="e">
        <f>((0.807*E63*C63^2)/(A63*B63))*(((1-F63^2)^-3)*(C63/B63)^2)^0.25</f>
        <v>#DIV/0!</v>
      </c>
      <c r="H63" s="3" t="e">
        <f>D63-G63</f>
        <v>#DIV/0!</v>
      </c>
      <c r="I63" s="3" t="e">
        <f>((0.807*E63*C63^2)/(D63*B63))*(((1-F63^2)^-3)*(C63/B63)^2)^0.25</f>
        <v>#DIV/0!</v>
      </c>
      <c r="J63" s="3" t="e">
        <f>A63*(B63)^2*3.1416*7.48/1728</f>
        <v>#DIV/0!</v>
      </c>
      <c r="K63" s="3" t="e">
        <f>(((D63*A63)*((1-(F63)^2)^0.75)*(B63^1.5))/(0.807*E63))^0.4</f>
        <v>#DIV/0!</v>
      </c>
      <c r="L63" s="3" t="e">
        <f>A63/(2*B63)</f>
        <v>#DIV/0!</v>
      </c>
      <c r="M63" s="4" t="e">
        <f>(((D63*A63)*((1-F63^2)^0.75)*(C63^2.5))/(0.807*E63))^0.667</f>
        <v>#DIV/0!</v>
      </c>
    </row>
    <row r="64" spans="1:13" x14ac:dyDescent="0.2">
      <c r="A64" s="5" t="e">
        <f>D69*12</f>
        <v>#DIV/0!</v>
      </c>
      <c r="B64" s="3">
        <f>A69/2</f>
        <v>0</v>
      </c>
      <c r="C64" s="3"/>
      <c r="D64" s="3">
        <f>((2*B64/12)+B79)*62.4/144</f>
        <v>0</v>
      </c>
      <c r="E64" s="3">
        <v>29500000</v>
      </c>
      <c r="F64" s="3">
        <v>0.28699999999999998</v>
      </c>
      <c r="G64" s="3" t="e">
        <f>((0.807*E64*C64^2)/(A64*B64))*(((1-F64^2)^-3)*(C64/B64)^2)^0.25</f>
        <v>#DIV/0!</v>
      </c>
      <c r="H64" s="3" t="e">
        <f>D64-G64</f>
        <v>#DIV/0!</v>
      </c>
      <c r="I64" s="3" t="e">
        <f>((0.807*E64*C64^2)/(D64*B64))*(((1-F64^2)^-3)*(C64/B64)^2)^0.25</f>
        <v>#DIV/0!</v>
      </c>
      <c r="J64" s="3" t="e">
        <f>A64*(B64)^2*3.1416*7.48/1728</f>
        <v>#DIV/0!</v>
      </c>
      <c r="K64" s="3" t="e">
        <f>(((D64*A64)*((1-(F64)^2)^0.75)*(B64^1.5))/(0.807*E64))^0.4</f>
        <v>#DIV/0!</v>
      </c>
      <c r="L64" s="3" t="e">
        <f>A64/(2*B64)</f>
        <v>#DIV/0!</v>
      </c>
      <c r="M64" s="4" t="e">
        <f>(((D64*A64)*((1-F64^2)^0.75)*(C64^2.5))/(0.807*E64))^0.667</f>
        <v>#DIV/0!</v>
      </c>
    </row>
    <row r="65" spans="1:13" ht="13.5" thickBot="1" x14ac:dyDescent="0.25">
      <c r="A65" s="6" t="e">
        <f>D70*12</f>
        <v>#DIV/0!</v>
      </c>
      <c r="B65" s="7">
        <f>A70/2</f>
        <v>0</v>
      </c>
      <c r="C65" s="7"/>
      <c r="D65" s="7">
        <f>((2*B65/12)+B79)*62.4/144</f>
        <v>0</v>
      </c>
      <c r="E65" s="7">
        <v>29500000</v>
      </c>
      <c r="F65" s="7">
        <v>0.28699999999999998</v>
      </c>
      <c r="G65" s="7" t="e">
        <f>((0.807*E65*C65^2)/(A65*B65))*(((1-F65^2)^-3)*(C65/B65)^2)^0.25</f>
        <v>#DIV/0!</v>
      </c>
      <c r="H65" s="7" t="e">
        <f>D65-G65</f>
        <v>#DIV/0!</v>
      </c>
      <c r="I65" s="7" t="e">
        <f>((0.807*E65*C65^2)/(D65*B65))*(((1-F65^2)^-3)*(C65/B65)^2)^0.25</f>
        <v>#DIV/0!</v>
      </c>
      <c r="J65" s="7" t="e">
        <f>A65*(B65)^2*3.1416*7.48/1728</f>
        <v>#DIV/0!</v>
      </c>
      <c r="K65" s="7" t="e">
        <f>(((D65*A65)*((1-(F65)^2)^0.75)*(B65^1.5))/(0.807*E65))^0.4</f>
        <v>#DIV/0!</v>
      </c>
      <c r="L65" s="7" t="e">
        <f>A65/(2*B65)</f>
        <v>#DIV/0!</v>
      </c>
      <c r="M65" s="8" t="e">
        <f>(((D65*A65)*((1-F65^2)^0.75)*(C65^2.5))/(0.807*E65))^0.667</f>
        <v>#DIV/0!</v>
      </c>
    </row>
    <row r="66" spans="1:13" ht="13.5" thickBot="1" x14ac:dyDescent="0.25"/>
    <row r="67" spans="1:13" ht="14.25" x14ac:dyDescent="0.2">
      <c r="A67" s="36" t="s">
        <v>20</v>
      </c>
      <c r="B67" s="37" t="s">
        <v>21</v>
      </c>
      <c r="C67" s="37" t="s">
        <v>54</v>
      </c>
      <c r="D67" s="37" t="s">
        <v>23</v>
      </c>
      <c r="E67" s="37" t="s">
        <v>52</v>
      </c>
      <c r="F67" s="37" t="s">
        <v>24</v>
      </c>
      <c r="G67" s="38" t="s">
        <v>13</v>
      </c>
    </row>
    <row r="68" spans="1:13" x14ac:dyDescent="0.2">
      <c r="A68" s="5">
        <f>B81</f>
        <v>0</v>
      </c>
      <c r="B68" s="3">
        <f>B80</f>
        <v>0</v>
      </c>
      <c r="C68" s="3">
        <f>3.1416*(A68/2)^2/144</f>
        <v>0</v>
      </c>
      <c r="D68" s="3" t="e">
        <f>B68/C68/7.48</f>
        <v>#DIV/0!</v>
      </c>
      <c r="E68" s="3">
        <f>A68/2</f>
        <v>0</v>
      </c>
      <c r="F68" s="3" t="e">
        <f>D68/(A68/12)</f>
        <v>#DIV/0!</v>
      </c>
      <c r="G68" s="4" t="e">
        <f>K63</f>
        <v>#DIV/0!</v>
      </c>
    </row>
    <row r="69" spans="1:13" x14ac:dyDescent="0.2">
      <c r="A69" s="5">
        <f>B81</f>
        <v>0</v>
      </c>
      <c r="B69" s="3">
        <f>B80*0.8</f>
        <v>0</v>
      </c>
      <c r="C69" s="3">
        <f>3.1416*(A69/2)^2/144</f>
        <v>0</v>
      </c>
      <c r="D69" s="3" t="e">
        <f>B69/C69/7.48</f>
        <v>#DIV/0!</v>
      </c>
      <c r="E69" s="3"/>
      <c r="F69" s="3"/>
      <c r="G69" s="4" t="e">
        <f>K64</f>
        <v>#DIV/0!</v>
      </c>
    </row>
    <row r="70" spans="1:13" ht="13.5" thickBot="1" x14ac:dyDescent="0.25">
      <c r="A70" s="6">
        <f>B81</f>
        <v>0</v>
      </c>
      <c r="B70" s="7">
        <f>B80*0.7143</f>
        <v>0</v>
      </c>
      <c r="C70" s="7">
        <f>3.1416*(A70/2)^2/144</f>
        <v>0</v>
      </c>
      <c r="D70" s="7" t="e">
        <f>B70/C70/7.48</f>
        <v>#DIV/0!</v>
      </c>
      <c r="E70" s="7"/>
      <c r="F70" s="7"/>
      <c r="G70" s="8" t="e">
        <f>K65</f>
        <v>#DIV/0!</v>
      </c>
    </row>
    <row r="71" spans="1:13" ht="13.5" thickBot="1" x14ac:dyDescent="0.25"/>
    <row r="72" spans="1:13" x14ac:dyDescent="0.2">
      <c r="A72" s="36" t="s">
        <v>30</v>
      </c>
      <c r="B72" s="37" t="s">
        <v>31</v>
      </c>
      <c r="C72" s="38" t="s">
        <v>32</v>
      </c>
      <c r="E72" t="s">
        <v>33</v>
      </c>
    </row>
    <row r="73" spans="1:13" x14ac:dyDescent="0.2">
      <c r="A73" s="5">
        <v>3.1242000000000001</v>
      </c>
      <c r="B73" s="3">
        <v>2.3622000000000001</v>
      </c>
      <c r="C73" s="4">
        <f>(A73^2.5+B73^2.5)^0.4</f>
        <v>3.6714639005914504</v>
      </c>
      <c r="E73" t="s">
        <v>34</v>
      </c>
    </row>
    <row r="74" spans="1:13" x14ac:dyDescent="0.2">
      <c r="A74" s="19" t="s">
        <v>35</v>
      </c>
      <c r="B74" s="14" t="s">
        <v>73</v>
      </c>
      <c r="C74" s="15" t="s">
        <v>74</v>
      </c>
      <c r="E74" t="s">
        <v>38</v>
      </c>
    </row>
    <row r="75" spans="1:13" x14ac:dyDescent="0.2">
      <c r="A75" s="5" t="e">
        <f>K63*25.4</f>
        <v>#DIV/0!</v>
      </c>
      <c r="B75" s="3">
        <f>'UL 58 Metric DW &amp; Type I'!D13</f>
        <v>0</v>
      </c>
      <c r="C75" s="86" t="e">
        <f>(A75^2.5-B75^2.5)^0.4</f>
        <v>#DIV/0!</v>
      </c>
      <c r="E75" t="s">
        <v>39</v>
      </c>
    </row>
    <row r="76" spans="1:13" x14ac:dyDescent="0.2">
      <c r="A76" s="5" t="e">
        <f>K63*25.4</f>
        <v>#DIV/0!</v>
      </c>
      <c r="B76" s="86" t="e">
        <f>(A76^2.5-C76^2.5)^0.4</f>
        <v>#DIV/0!</v>
      </c>
      <c r="C76" s="3">
        <f>'UL 58 Metric DW &amp; Type I'!E14</f>
        <v>0</v>
      </c>
    </row>
    <row r="77" spans="1:13" ht="13.5" thickBot="1" x14ac:dyDescent="0.25"/>
    <row r="78" spans="1:13" x14ac:dyDescent="0.2">
      <c r="A78" s="34" t="s">
        <v>47</v>
      </c>
      <c r="B78" s="22"/>
      <c r="C78" s="24"/>
    </row>
    <row r="79" spans="1:13" x14ac:dyDescent="0.2">
      <c r="A79" s="23" t="s">
        <v>57</v>
      </c>
      <c r="B79" s="25">
        <f>'UL 58 Metric DW &amp; Type I'!D6/0.3048</f>
        <v>0</v>
      </c>
    </row>
    <row r="80" spans="1:13" x14ac:dyDescent="0.2">
      <c r="A80" s="23" t="s">
        <v>58</v>
      </c>
      <c r="B80" s="25">
        <f>'UL 58 Metric DW &amp; Type I'!D7/3.785</f>
        <v>0</v>
      </c>
      <c r="E80" t="s">
        <v>1</v>
      </c>
    </row>
    <row r="81" spans="1:2" x14ac:dyDescent="0.2">
      <c r="A81" s="23" t="s">
        <v>50</v>
      </c>
      <c r="B81" s="25">
        <f>('UL 58 Metric DW &amp; Type I'!D8*12)/0.3048</f>
        <v>0</v>
      </c>
    </row>
    <row r="82" spans="1:2" x14ac:dyDescent="0.2">
      <c r="A82" s="23" t="s">
        <v>55</v>
      </c>
      <c r="B82" s="25" t="e">
        <f>K63</f>
        <v>#DIV/0!</v>
      </c>
    </row>
    <row r="83" spans="1:2" ht="13.5" thickBot="1" x14ac:dyDescent="0.25">
      <c r="A83" s="26" t="s">
        <v>75</v>
      </c>
      <c r="B83" s="28">
        <f>'UL 58 Metric DW &amp; Type I'!D13/25.4</f>
        <v>0</v>
      </c>
    </row>
    <row r="84" spans="1:2" ht="13.5" thickBot="1" x14ac:dyDescent="0.25">
      <c r="A84" s="87" t="s">
        <v>70</v>
      </c>
      <c r="B84" s="28">
        <f>'UL 58 Metric DW &amp; Type I'!E14/25.4</f>
        <v>0</v>
      </c>
    </row>
  </sheetData>
  <conditionalFormatting sqref="D9">
    <cfRule type="cellIs" priority="1" stopIfTrue="1" operator="lessThan">
      <formula>0.123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70FEA338100D40BCD54F2C271A5646" ma:contentTypeVersion="15" ma:contentTypeDescription="Create a new document." ma:contentTypeScope="" ma:versionID="87e4574c898d0157e664b1ab89bdc5b0">
  <xsd:schema xmlns:xsd="http://www.w3.org/2001/XMLSchema" xmlns:xs="http://www.w3.org/2001/XMLSchema" xmlns:p="http://schemas.microsoft.com/office/2006/metadata/properties" xmlns:ns1="http://schemas.microsoft.com/sharepoint/v3" xmlns:ns2="5208039a-e0ad-4fb9-93f4-5d327c6b5ed6" xmlns:ns3="f577bf94-8084-44fc-bb88-389f43dd31f5" xmlns:ns4="6a281164-9e3b-490a-bfa0-2f4ebabfa410" targetNamespace="http://schemas.microsoft.com/office/2006/metadata/properties" ma:root="true" ma:fieldsID="d2966f9ab54eff95ffa6f8e4e40770dd" ns1:_="" ns2:_="" ns3:_="" ns4:_="">
    <xsd:import namespace="http://schemas.microsoft.com/sharepoint/v3"/>
    <xsd:import namespace="5208039a-e0ad-4fb9-93f4-5d327c6b5ed6"/>
    <xsd:import namespace="f577bf94-8084-44fc-bb88-389f43dd31f5"/>
    <xsd:import namespace="6a281164-9e3b-490a-bfa0-2f4ebabfa4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Description0" minOccurs="0"/>
                <xsd:element ref="ns1:_ip_UnifiedCompliancePolicyProperties" minOccurs="0"/>
                <xsd:element ref="ns1:_ip_UnifiedCompliancePolicyUIAction" minOccurs="0"/>
                <xsd:element ref="ns4:LastSharedByUser" minOccurs="0"/>
                <xsd:element ref="ns4:LastSharedByTime" minOccurs="0"/>
                <xsd:element ref="ns3:MediaServiceMetadata" minOccurs="0"/>
                <xsd:element ref="ns3:MediaServiceFastMetadata" minOccurs="0"/>
                <xsd:element ref="ns4:TaxKeywordTaxHTField" minOccurs="0"/>
                <xsd:element ref="ns4:TaxCatchAll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8039a-e0ad-4fb9-93f4-5d327c6b5e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7bf94-8084-44fc-bb88-389f43dd31f5" elementFormDefault="qualified">
    <xsd:import namespace="http://schemas.microsoft.com/office/2006/documentManagement/types"/>
    <xsd:import namespace="http://schemas.microsoft.com/office/infopath/2007/PartnerControls"/>
    <xsd:element name="Description0" ma:index="9" nillable="true" ma:displayName="Description" ma:internalName="Description0">
      <xsd:simpleType>
        <xsd:restriction base="dms:Note">
          <xsd:maxLength value="255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281164-9e3b-490a-bfa0-2f4ebabfa410" elementFormDefault="qualified">
    <xsd:import namespace="http://schemas.microsoft.com/office/2006/documentManagement/types"/>
    <xsd:import namespace="http://schemas.microsoft.com/office/infopath/2007/PartnerControls"/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44937bdf-42e3-4142-868d-c06716fb8cc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ddb74305-86c9-44b9-865b-9929e9a567a1}" ma:internalName="TaxCatchAll" ma:showField="CatchAllData" ma:web="6a281164-9e3b-490a-bfa0-2f4ebabfa4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escription0 xmlns="f577bf94-8084-44fc-bb88-389f43dd31f5" xsi:nil="true"/>
    <_ip_UnifiedCompliancePolicyProperties xmlns="http://schemas.microsoft.com/sharepoint/v3" xsi:nil="true"/>
    <TaxKeywordTaxHTField xmlns="6a281164-9e3b-490a-bfa0-2f4ebabfa410">
      <Terms xmlns="http://schemas.microsoft.com/office/infopath/2007/PartnerControls"/>
    </TaxKeywordTaxHTField>
    <TaxCatchAll xmlns="6a281164-9e3b-490a-bfa0-2f4ebabfa410"/>
  </documentManagement>
</p:properties>
</file>

<file path=customXml/itemProps1.xml><?xml version="1.0" encoding="utf-8"?>
<ds:datastoreItem xmlns:ds="http://schemas.openxmlformats.org/officeDocument/2006/customXml" ds:itemID="{D125F079-4416-4E44-82EC-E853A7A1C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08039a-e0ad-4fb9-93f4-5d327c6b5ed6"/>
    <ds:schemaRef ds:uri="f577bf94-8084-44fc-bb88-389f43dd31f5"/>
    <ds:schemaRef ds:uri="6a281164-9e3b-490a-bfa0-2f4ebabfa4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0984FB-AD56-4FDE-9A22-7F27A63BEE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25F2B5-448C-4999-AB48-BFAE9969B45C}">
  <ds:schemaRefs>
    <ds:schemaRef ds:uri="http://schemas.microsoft.com/sharepoint/v3"/>
    <ds:schemaRef ds:uri="http://purl.org/dc/elements/1.1/"/>
    <ds:schemaRef ds:uri="f577bf94-8084-44fc-bb88-389f43dd31f5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6a281164-9e3b-490a-bfa0-2f4ebabfa410"/>
    <ds:schemaRef ds:uri="5208039a-e0ad-4fb9-93f4-5d327c6b5ed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UL58 Single Wall &amp; Type II</vt:lpstr>
      <vt:lpstr>UL 58 Metric SW &amp; Type II</vt:lpstr>
      <vt:lpstr>UL 58 Double Wall &amp; Type I</vt:lpstr>
      <vt:lpstr>UL 58 Metric DW &amp; Type I</vt:lpstr>
      <vt:lpstr>UL58 Formulas</vt:lpstr>
      <vt:lpstr>'UL 58 Double Wall &amp; Type I'!Print_Area</vt:lpstr>
      <vt:lpstr>'UL 58 Metric DW &amp; Type I'!Print_Area</vt:lpstr>
      <vt:lpstr>'UL 58 Metric SW &amp; Type II'!Print_Area</vt:lpstr>
      <vt:lpstr>'UL58 Single Wall &amp; Type II'!Print_Area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BUCKLING TABLE</dc:title>
  <dc:creator>engineering systems</dc:creator>
  <cp:lastModifiedBy>Dallman, Kristen</cp:lastModifiedBy>
  <cp:lastPrinted>2004-02-17T22:12:21Z</cp:lastPrinted>
  <dcterms:created xsi:type="dcterms:W3CDTF">2014-10-09T13:37:06Z</dcterms:created>
  <dcterms:modified xsi:type="dcterms:W3CDTF">2018-12-11T21:07:37Z</dcterms:modified>
</cp:coreProperties>
</file>